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3FVibAYiFnyHwsxGwwvy8W+ez7CnbiALjnCJLnHp8+6GQJqi8JoywlU2Xc6MnJ7nAyeDaNpxVEtU6Ehv/GF9w==" workbookSaltValue="UdDLqIiZ4EBoKGDAyc1o/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13" i="7"/>
  <c r="E18" i="12"/>
  <c r="EL19" i="8"/>
  <c r="AP12" i="11"/>
  <c r="EN19" i="8"/>
  <c r="F12" i="21"/>
  <c r="G10" i="3"/>
  <c r="G12" i="12"/>
  <c r="BA13" i="16"/>
  <c r="AP10" i="11"/>
  <c r="Y12" i="11"/>
  <c r="T10" i="21"/>
  <c r="ES19" i="8"/>
  <c r="G18" i="12"/>
  <c r="C18" i="7"/>
  <c r="R8" i="9"/>
  <c r="BH9" i="16" s="1"/>
  <c r="BM19" i="8"/>
  <c r="AL13" i="16"/>
  <c r="V11" i="16"/>
  <c r="S13" i="16"/>
  <c r="P13" i="16"/>
  <c r="AM13" i="20"/>
  <c r="Z13" i="17"/>
  <c r="H13" i="12"/>
  <c r="F13" i="7"/>
  <c r="BI10" i="11"/>
  <c r="BG15" i="11"/>
  <c r="BV17" i="16"/>
  <c r="BV11" i="16"/>
  <c r="BU16" i="17"/>
  <c r="S11" i="14"/>
  <c r="V11" i="14" s="1"/>
  <c r="BH10" i="11"/>
  <c r="BJ10" i="11"/>
  <c r="T11" i="11"/>
  <c r="BL16" i="11"/>
  <c r="BA13" i="8"/>
  <c r="I19" i="8"/>
  <c r="E13" i="17"/>
  <c r="X15" i="16"/>
  <c r="X18" i="16"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W18" i="21" l="1"/>
  <c r="BM18" i="16"/>
  <c r="AV18" i="21"/>
  <c r="AE19" i="8"/>
  <c r="AC10" i="11"/>
  <c r="BD9" i="8"/>
  <c r="BG9" i="8"/>
  <c r="M18" i="2"/>
  <c r="AN12" i="11"/>
  <c r="D10" i="6"/>
  <c r="AO9" i="11"/>
  <c r="C11" i="6"/>
  <c r="B17" i="6"/>
  <c r="AO15" i="11"/>
  <c r="AL16" i="11"/>
  <c r="K9" i="7"/>
  <c r="J10" i="2"/>
  <c r="E9" i="6"/>
  <c r="K9" i="12" s="1"/>
  <c r="AO17" i="11"/>
  <c r="L12" i="2"/>
  <c r="AQ12" i="21"/>
  <c r="BH11" i="11"/>
  <c r="AQ10" i="21"/>
  <c r="BG12" i="11"/>
  <c r="S12" i="14"/>
  <c r="V12" i="14" s="1"/>
  <c r="U10" i="17"/>
  <c r="BV12" i="16"/>
  <c r="T15" i="16"/>
  <c r="BJ11" i="11"/>
  <c r="V12" i="21"/>
  <c r="BL12" i="11"/>
  <c r="BJ17" i="11"/>
  <c r="F15" i="16"/>
  <c r="BL15" i="16" s="1"/>
  <c r="BE12" i="21"/>
  <c r="BE9" i="13"/>
  <c r="AL9" i="11"/>
  <c r="E11" i="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V9" i="16"/>
  <c r="AA11" i="16"/>
  <c r="L17" i="2"/>
  <c r="S16" i="17"/>
  <c r="S15" i="17"/>
  <c r="AA10" i="16"/>
  <c r="BJ16" i="11"/>
  <c r="BJ18" i="11" s="1"/>
  <c r="BH16" i="11"/>
  <c r="BG16" i="11"/>
  <c r="BK16" i="11"/>
  <c r="T12" i="11"/>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0" i="14"/>
  <c r="V10" i="14" s="1"/>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1" i="12" l="1"/>
  <c r="K15" i="12"/>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<sst xmlns="http://schemas.openxmlformats.org/spreadsheetml/2006/main" count="2080" uniqueCount="913">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</sst>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a2HLvGNzwdBiIqTr6AVImvR+L5m59s0VNjKm3bbcEeUnhSbe8Pu9HoYmmoXd0N39U6x1/cV2yDyzCHGFEDaHA==" saltValue="IODZAKqvgruePxqGGmW+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45.29520917678812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130</v>
      </c>
      <c r="D10" s="229">
        <f>IF(ISNUMBER(Datos!I10),Datos!I10," - ")</f>
        <v>130</v>
      </c>
      <c r="E10" s="230">
        <f>IF(ISNUMBER(Datos!J10),Datos!J10," - ")</f>
        <v>78</v>
      </c>
      <c r="F10" s="230">
        <f>IF(ISNUMBER(Datos!K10),Datos!K10," - ")</f>
        <v>73</v>
      </c>
      <c r="G10" s="1189" t="str">
        <f>IF(Datos!E10&lt;&gt;"",Datos!E10,Datos!D10)</f>
        <v>37</v>
      </c>
      <c r="H10" s="231">
        <f>IF(ISNUMBER(Datos!L10),Datos!L10," - ")</f>
        <v>135</v>
      </c>
      <c r="I10" s="1199" t="str">
        <f>IF(ISNUMBER(Datos!AS10/Datos!BM10),Datos!AS10/Datos!BM10," - ")</f>
        <v xml:space="preserve"> - </v>
      </c>
      <c r="J10" s="1200">
        <f>IF(ISNUMBER(Datos!BY10/Datos!CN10),Datos!BY10/Datos!CN10," - ")</f>
        <v>0</v>
      </c>
      <c r="K10" s="234">
        <f t="shared" ref="K10:K12" si="1">IF(ISNUMBER((E10-F10)/C10),(E10-F10)/C10," - ")</f>
        <v>3.8461538461538464E-2</v>
      </c>
      <c r="L10" s="1201">
        <f>IF(ISNUMBER(NºAsuntos!I10/NºAsuntos!G10),(NºAsuntos!I10/NºAsuntos!G10)*11," - ")</f>
        <v>20.342465753424658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16.815057283142391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130</v>
      </c>
      <c r="D13" s="1206">
        <f>SUBTOTAL(9,D9:D12)</f>
        <v>130</v>
      </c>
      <c r="E13" s="1207">
        <f>SUBTOTAL(9,E9:E12)</f>
        <v>78</v>
      </c>
      <c r="F13" s="1208">
        <f>SUBTOTAL(9,F9:F12)</f>
        <v>73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2525</v>
      </c>
      <c r="D15" s="229">
        <f>IF(ISNUMBER(IF(D_I="SI",Datos!I15,Datos!I15+Datos!AC15)),IF(D_I="SI",Datos!I15,Datos!I15+Datos!AC15)," - ")</f>
        <v>2503</v>
      </c>
      <c r="E15" s="230">
        <f>IF(ISNUMBER(IF(D_I="SI",Datos!J15,Datos!J15+Datos!AD15)),IF(D_I="SI",Datos!J15,Datos!J15+Datos!AD15)," - ")</f>
        <v>2991</v>
      </c>
      <c r="F15" s="230">
        <f>IF(ISNUMBER(IF(D_I="SI",Datos!K15,Datos!K15+Datos!AE15)),IF(D_I="SI",Datos!K15,Datos!K15+Datos!AE15)," - ")</f>
        <v>2772</v>
      </c>
      <c r="G15" s="1189" t="str">
        <f>IF(Datos!E15&lt;&gt;"",Datos!E15,Datos!D15)</f>
        <v>03</v>
      </c>
      <c r="H15" s="231">
        <f>IF(ISNUMBER(IF(D_I="SI",Datos!L15,Datos!L15+Datos!AF15)),IF(D_I="SI",Datos!L15,Datos!L15+Datos!AF15)," - ")</f>
        <v>2744</v>
      </c>
      <c r="I15" s="1199" t="str">
        <f>IF(ISNUMBER(Datos!AS15/Datos!BM15),Datos!AS15/Datos!BM15," - ")</f>
        <v xml:space="preserve"> - </v>
      </c>
      <c r="J15" s="1200">
        <f>IF(ISNUMBER(Datos!BY15/Datos!CN15),Datos!BY15/Datos!CN15," - ")</f>
        <v>0</v>
      </c>
      <c r="K15" s="234">
        <f t="shared" ref="K15:K17" si="3">IF(ISNUMBER((E15-F15)/C15),(E15-F15)/C15," - ")</f>
        <v>8.6732673267326726E-2</v>
      </c>
      <c r="L15" s="1201">
        <f>IF(ISNUMBER(NºAsuntos!I15/NºAsuntos!G15),(NºAsuntos!I15/NºAsuntos!G15)*11," - ")</f>
        <v>10.888888888888889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215</v>
      </c>
      <c r="D17" s="229">
        <f>IF(ISNUMBER(IF(D_I="SI",Datos!I17,Datos!I17+Datos!AC17)),IF(D_I="SI",Datos!I17,Datos!I17+Datos!AC17)," - ")</f>
        <v>208</v>
      </c>
      <c r="E17" s="230">
        <f>IF(ISNUMBER(IF(D_I="SI",Datos!J17,Datos!J17+Datos!AD17)),IF(D_I="SI",Datos!J17,Datos!J17+Datos!AD17)," - ")</f>
        <v>540</v>
      </c>
      <c r="F17" s="230">
        <f>IF(ISNUMBER(IF(D_I="SI",Datos!K17,Datos!K17+Datos!AE17)),IF(D_I="SI",Datos!K17,Datos!K17+Datos!AE17)," - ")</f>
        <v>528</v>
      </c>
      <c r="G17" s="1189" t="str">
        <f>IF(Datos!E17&lt;&gt;"",Datos!E17,Datos!D17)</f>
        <v>37</v>
      </c>
      <c r="H17" s="231">
        <f>IF(ISNUMBER(IF(D_I="SI",Datos!L17,Datos!L17+Datos!AF17)),IF(D_I="SI",Datos!L17,Datos!L17+Datos!AF17)," - ")</f>
        <v>227</v>
      </c>
      <c r="I17" s="1199" t="str">
        <f>IF(ISNUMBER(Datos!AS17/Datos!BM17),Datos!AS17/Datos!BM17," - ")</f>
        <v xml:space="preserve"> - </v>
      </c>
      <c r="J17" s="1200" t="str">
        <f>IF(ISNUMBER((Datos!BY17+Datos!BZ17)/Datos!CN17),(Datos!BY17+Datos!BZ17)/Datos!CN17," - ")</f>
        <v xml:space="preserve"> - </v>
      </c>
      <c r="K17" s="234">
        <f t="shared" si="3"/>
        <v>5.5813953488372092E-2</v>
      </c>
      <c r="L17" s="1201">
        <f>IF(ISNUMBER(NºAsuntos!I17/NºAsuntos!G17),(NºAsuntos!I17/NºAsuntos!G17)*11," - ")</f>
        <v>4.729166666666667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2740</v>
      </c>
      <c r="D18" s="1206">
        <f>SUBTOTAL(9,D15:D17)</f>
        <v>2711</v>
      </c>
      <c r="E18" s="1207">
        <f>SUBTOTAL(9,E15:E17)</f>
        <v>3531</v>
      </c>
      <c r="F18" s="1207">
        <f>SUBTOTAL(9,F15:F17)</f>
        <v>3300</v>
      </c>
      <c r="G18" s="1209" t="str">
        <f ca="1">INDIRECT(CONCATENATE("G",ROW()-1))</f>
        <v>37</v>
      </c>
      <c r="H18" s="1210">
        <f ca="1">SUMIF(G$14:G17,G18,H$14:H17)</f>
        <v>227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2870</v>
      </c>
      <c r="D19" s="1228">
        <f>SUBTOTAL(9,D9:D18)</f>
        <v>2841</v>
      </c>
      <c r="E19" s="1229">
        <f>SUBTOTAL(9,E9:E18)</f>
        <v>3609</v>
      </c>
      <c r="F19" s="1229">
        <f>SUBTOTAL(9,F9:F18)</f>
        <v>3373</v>
      </c>
      <c r="G19" s="1230"/>
      <c r="H19" s="1231">
        <f ca="1">SUMIF(B9:B18,"TOTAL",H9:H18)</f>
        <v>227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nVdZKlC/YzOEs6nh52Nq8TB1WamjjI5t6+bpjjSsyy3ql6D1/YNLx4Ksf6b98xS7h3nBXHqIGCqyYgNtQz56A==" saltValue="sk+MCYn8fAI+z5JAuBh8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fU37xoDz/305oFfBIBVq+XG//1XNKS44n3lVpReE5ZZ9MRiuDbohLm9JtjEW5u/O9AJnCpVbABNYOk+wpfdhw==" saltValue="z/FabSzUMs3qrrFhH4mW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11390</v>
      </c>
      <c r="J9" s="185">
        <v>3457</v>
      </c>
      <c r="K9" s="185">
        <v>2860</v>
      </c>
      <c r="L9" s="185">
        <v>12005</v>
      </c>
      <c r="M9" s="185">
        <v>750</v>
      </c>
      <c r="N9" s="185">
        <v>1221</v>
      </c>
      <c r="O9" s="185">
        <v>1225</v>
      </c>
      <c r="P9" s="185">
        <v>626</v>
      </c>
      <c r="Q9" s="185">
        <v>394</v>
      </c>
      <c r="R9" s="185">
        <v>13183</v>
      </c>
      <c r="S9" s="185">
        <v>8586</v>
      </c>
      <c r="T9" s="185">
        <v>3026</v>
      </c>
      <c r="U9" s="185">
        <v>2893</v>
      </c>
      <c r="V9" s="185">
        <v>9035</v>
      </c>
      <c r="W9" s="185">
        <v>587</v>
      </c>
      <c r="X9" s="192">
        <v>1255</v>
      </c>
      <c r="Y9" s="195">
        <v>186</v>
      </c>
      <c r="Z9" s="185">
        <v>121</v>
      </c>
      <c r="AA9" s="185">
        <v>104</v>
      </c>
      <c r="AB9" s="185">
        <v>200</v>
      </c>
      <c r="AC9" s="185">
        <v>0</v>
      </c>
      <c r="AD9" s="185">
        <v>0</v>
      </c>
      <c r="AE9" s="185">
        <v>0</v>
      </c>
      <c r="AF9" s="192">
        <v>0</v>
      </c>
      <c r="AG9" s="195">
        <v>167</v>
      </c>
      <c r="AH9" s="185">
        <v>174</v>
      </c>
      <c r="AI9" s="185">
        <v>170</v>
      </c>
      <c r="AJ9" s="196">
        <v>197</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8753</v>
      </c>
      <c r="AZ9" s="124">
        <f>IF(ISNUMBER(IF(J_V="SI",T9,T9+AH9)),IF(J_V="SI",T9,T9+AH9)," - ")</f>
        <v>3200</v>
      </c>
      <c r="BA9" s="125">
        <f>IF(ISNUMBER(IF(J_V="SI",U9,U9+AI9)),IF(J_V="SI",U9,U9+AI9)," - ")</f>
        <v>3063</v>
      </c>
      <c r="BB9" s="125">
        <f>IF(ISNUMBER(IF(J_V="SI",V9,V9+AJ9)),IF(J_V="SI",V9,V9+AJ9)," - ")</f>
        <v>9232</v>
      </c>
      <c r="BC9" s="126">
        <f>IF(ISNUMBER(X9),X9," - ")</f>
        <v>1255</v>
      </c>
      <c r="BD9" s="127">
        <f>IF(ISNUMBER(BA9/AZ9),BA9/AZ9," - ")</f>
        <v>0.95718749999999997</v>
      </c>
      <c r="BE9" s="128">
        <f>IF(ISNUMBER(BB9/BA9),BB9/BA9, " - ")</f>
        <v>3.0140385243225594</v>
      </c>
      <c r="BF9" s="128">
        <f>IF(ISNUMBER(BC9/BA9),BC9/BA9, " - ")</f>
        <v>0.4097290238328436</v>
      </c>
      <c r="BG9" s="200">
        <f>IF(ISNUMBER((AY9+AZ9)/BA9),(AY9+AZ9)/BA9," - ")</f>
        <v>3.9023832843617368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130</v>
      </c>
      <c r="J10" s="185">
        <v>78</v>
      </c>
      <c r="K10" s="185">
        <v>73</v>
      </c>
      <c r="L10" s="185">
        <v>135</v>
      </c>
      <c r="M10" s="185">
        <v>15</v>
      </c>
      <c r="N10" s="185">
        <v>39</v>
      </c>
      <c r="O10" s="185">
        <v>24</v>
      </c>
      <c r="P10" s="185">
        <v>15</v>
      </c>
      <c r="Q10" s="185">
        <v>15</v>
      </c>
      <c r="R10" s="185">
        <v>196</v>
      </c>
      <c r="S10" s="185">
        <v>118</v>
      </c>
      <c r="T10" s="185">
        <v>33</v>
      </c>
      <c r="U10" s="185">
        <v>36</v>
      </c>
      <c r="V10" s="185">
        <v>115</v>
      </c>
      <c r="W10" s="185">
        <v>20</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118</v>
      </c>
      <c r="AZ10" s="130">
        <f t="shared" si="0"/>
        <v>33</v>
      </c>
      <c r="BA10" s="130">
        <f t="shared" si="0"/>
        <v>36</v>
      </c>
      <c r="BB10" s="130">
        <f t="shared" si="0"/>
        <v>115</v>
      </c>
      <c r="BC10" s="126">
        <f t="shared" si="0"/>
        <v>20</v>
      </c>
      <c r="BD10" s="127">
        <f>IF(ISNUMBER(BA10/AZ10),BA10/AZ10," - ")</f>
        <v>1.0909090909090908</v>
      </c>
      <c r="BE10" s="128">
        <f>IF(ISNUMBER(BB10/BA10),BB10/BA10, " - ")</f>
        <v>3.1944444444444446</v>
      </c>
      <c r="BF10" s="128">
        <f>IF(ISNUMBER(BC10/BA10),BC10/BA10, " - ")</f>
        <v>0.55555555555555558</v>
      </c>
      <c r="BG10" s="200">
        <f>IF(ISNUMBER((AY10+AZ10)/BA10),(AY10+AZ10)/BA10," - ")</f>
        <v>4.1944444444444446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947</v>
      </c>
      <c r="J11" s="187">
        <v>366</v>
      </c>
      <c r="K11" s="187">
        <v>404</v>
      </c>
      <c r="L11" s="187">
        <v>833</v>
      </c>
      <c r="M11" s="187">
        <v>209</v>
      </c>
      <c r="N11" s="187">
        <v>279</v>
      </c>
      <c r="O11" s="185">
        <v>201</v>
      </c>
      <c r="P11" s="187">
        <v>78</v>
      </c>
      <c r="Q11" s="187">
        <v>103</v>
      </c>
      <c r="R11" s="187">
        <v>1838</v>
      </c>
      <c r="S11" s="187">
        <v>588</v>
      </c>
      <c r="T11" s="187">
        <v>442</v>
      </c>
      <c r="U11" s="187">
        <v>366</v>
      </c>
      <c r="V11" s="187">
        <v>664</v>
      </c>
      <c r="W11" s="187">
        <v>166</v>
      </c>
      <c r="X11" s="193">
        <v>299</v>
      </c>
      <c r="Y11" s="195">
        <v>133</v>
      </c>
      <c r="Z11" s="185">
        <v>175</v>
      </c>
      <c r="AA11" s="185">
        <v>207</v>
      </c>
      <c r="AB11" s="185">
        <v>101</v>
      </c>
      <c r="AC11" s="187">
        <v>0</v>
      </c>
      <c r="AD11" s="187">
        <v>0</v>
      </c>
      <c r="AE11" s="187">
        <v>0</v>
      </c>
      <c r="AF11" s="193">
        <v>0</v>
      </c>
      <c r="AG11" s="206">
        <v>76</v>
      </c>
      <c r="AH11" s="187">
        <v>177</v>
      </c>
      <c r="AI11" s="187">
        <v>182</v>
      </c>
      <c r="AJ11" s="207">
        <v>71</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664</v>
      </c>
      <c r="AZ11" s="128">
        <f t="shared" si="1"/>
        <v>619</v>
      </c>
      <c r="BA11" s="128">
        <f t="shared" si="1"/>
        <v>548</v>
      </c>
      <c r="BB11" s="128">
        <f t="shared" si="1"/>
        <v>735</v>
      </c>
      <c r="BC11" s="126">
        <f>IF(ISNUMBER(X11),X11," - ")</f>
        <v>299</v>
      </c>
      <c r="BD11" s="127">
        <f t="shared" ref="BD11:BD12" si="2">IF(ISNUMBER(BA11/AZ11),BA11/AZ11," - ")</f>
        <v>0.88529886914378031</v>
      </c>
      <c r="BE11" s="128">
        <f t="shared" ref="BE11:BE12" si="3">IF(ISNUMBER(BB11/BA11),BB11/BA11, " - ")</f>
        <v>1.3412408759124088</v>
      </c>
      <c r="BF11" s="128">
        <f t="shared" ref="BF11:BF12" si="4">IF(ISNUMBER(BC11/BA11),BC11/BA11, " - ")</f>
        <v>0.54562043795620441</v>
      </c>
      <c r="BG11" s="200">
        <f t="shared" ref="BG11:BG12" si="5">IF(ISNUMBER((AY11+AZ11)/BA11),(AY11+AZ11)/BA11," - ")</f>
        <v>2.3412408759124088</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12467</v>
      </c>
      <c r="J13" s="188">
        <f t="shared" si="6"/>
        <v>3901</v>
      </c>
      <c r="K13" s="188">
        <f t="shared" si="6"/>
        <v>3337</v>
      </c>
      <c r="L13" s="188">
        <f t="shared" si="6"/>
        <v>12973</v>
      </c>
      <c r="M13" s="188">
        <f t="shared" si="6"/>
        <v>974</v>
      </c>
      <c r="N13" s="188">
        <f t="shared" si="6"/>
        <v>1539</v>
      </c>
      <c r="O13" s="188">
        <f t="shared" si="6"/>
        <v>1450</v>
      </c>
      <c r="P13" s="188">
        <f t="shared" si="6"/>
        <v>719</v>
      </c>
      <c r="Q13" s="188">
        <f t="shared" si="6"/>
        <v>512</v>
      </c>
      <c r="R13" s="188">
        <f t="shared" si="6"/>
        <v>15217</v>
      </c>
      <c r="S13" s="188">
        <f t="shared" si="6"/>
        <v>9292</v>
      </c>
      <c r="T13" s="188">
        <f t="shared" si="6"/>
        <v>3501</v>
      </c>
      <c r="U13" s="188">
        <f t="shared" si="6"/>
        <v>3295</v>
      </c>
      <c r="V13" s="188">
        <f t="shared" si="6"/>
        <v>9814</v>
      </c>
      <c r="W13" s="188">
        <f t="shared" si="6"/>
        <v>773</v>
      </c>
      <c r="X13" s="188">
        <f t="shared" si="6"/>
        <v>1568</v>
      </c>
      <c r="Y13" s="188">
        <f t="shared" si="6"/>
        <v>319</v>
      </c>
      <c r="Z13" s="188">
        <f t="shared" si="6"/>
        <v>296</v>
      </c>
      <c r="AA13" s="188">
        <f t="shared" si="6"/>
        <v>311</v>
      </c>
      <c r="AB13" s="188">
        <f t="shared" si="6"/>
        <v>301</v>
      </c>
      <c r="AC13" s="188">
        <f t="shared" si="6"/>
        <v>0</v>
      </c>
      <c r="AD13" s="188">
        <f t="shared" si="6"/>
        <v>0</v>
      </c>
      <c r="AE13" s="188">
        <f t="shared" si="6"/>
        <v>0</v>
      </c>
      <c r="AF13" s="188">
        <f>SUBTOTAL(9,AF9:AF12)</f>
        <v>0</v>
      </c>
      <c r="AG13" s="188">
        <f t="shared" ref="AG13:AT13" si="7">SUBTOTAL(9,AG8:AG12)</f>
        <v>243</v>
      </c>
      <c r="AH13" s="188">
        <f t="shared" si="7"/>
        <v>351</v>
      </c>
      <c r="AI13" s="188">
        <f t="shared" si="7"/>
        <v>352</v>
      </c>
      <c r="AJ13" s="188">
        <f t="shared" si="7"/>
        <v>268</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9535</v>
      </c>
      <c r="AZ13" s="188">
        <f>SUBTOTAL(9,AZ8:AZ12)</f>
        <v>3852</v>
      </c>
      <c r="BA13" s="188">
        <f>SUBTOTAL(9,BA8:BA12)</f>
        <v>3647</v>
      </c>
      <c r="BB13" s="188">
        <f>SUBTOTAL(9,BB8:BB12)</f>
        <v>10082</v>
      </c>
      <c r="BC13" s="188">
        <f>SUBTOTAL(9,BC8:BC12)</f>
        <v>1574</v>
      </c>
      <c r="BD13" s="209">
        <f>IF(ISNUMBER(BA13/AZ13),BA13/AZ13," - ")</f>
        <v>0.94678089304257529</v>
      </c>
      <c r="BE13" s="210">
        <f>IF(ISNUMBER(BB13/BA13),BB13/BA13, " - ")</f>
        <v>2.7644639429668221</v>
      </c>
      <c r="BF13" s="210">
        <f>IF(ISNUMBER(BC13/BA13),BC13/BA13, " - ")</f>
        <v>0.43158760625171372</v>
      </c>
      <c r="BG13" s="211">
        <f>IF(ISNUMBER((AY13+AZ13)/BA13),(AY13+AZ13)/BA13," - ")</f>
        <v>3.670688236907047</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2503</v>
      </c>
      <c r="J15" s="187">
        <v>2991</v>
      </c>
      <c r="K15" s="187">
        <v>2772</v>
      </c>
      <c r="L15" s="187">
        <v>2744</v>
      </c>
      <c r="M15" s="187">
        <v>388</v>
      </c>
      <c r="N15" s="187">
        <v>1415</v>
      </c>
      <c r="O15" s="185">
        <v>107</v>
      </c>
      <c r="P15" s="187">
        <v>100</v>
      </c>
      <c r="Q15" s="187">
        <v>121</v>
      </c>
      <c r="R15" s="187">
        <v>464</v>
      </c>
      <c r="S15" s="187">
        <v>1747</v>
      </c>
      <c r="T15" s="187">
        <v>2822</v>
      </c>
      <c r="U15" s="187">
        <v>2330</v>
      </c>
      <c r="V15" s="187">
        <v>2166</v>
      </c>
      <c r="W15" s="187">
        <v>392</v>
      </c>
      <c r="X15" s="193">
        <v>1212</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1747</v>
      </c>
      <c r="AZ15" s="130">
        <f t="shared" si="9"/>
        <v>2822</v>
      </c>
      <c r="BA15" s="130">
        <f t="shared" si="9"/>
        <v>2330</v>
      </c>
      <c r="BB15" s="130">
        <f t="shared" si="9"/>
        <v>2166</v>
      </c>
      <c r="BC15" s="126">
        <f>IF(ISNUMBER(W15),W15," - ")</f>
        <v>392</v>
      </c>
      <c r="BD15" s="127">
        <f>IF(ISNUMBER(BA15/AZ15),BA15/AZ15," - ")</f>
        <v>0.82565556343019131</v>
      </c>
      <c r="BE15" s="128">
        <f>IF(ISNUMBER(BB15/BA15),BB15/BA15, " - ")</f>
        <v>0.92961373390557944</v>
      </c>
      <c r="BF15" s="128">
        <f>IF(ISNUMBER(BC15/BA15),BC15/BA15, " - ")</f>
        <v>0.16824034334763949</v>
      </c>
      <c r="BG15" s="200">
        <f t="shared" ref="BG15:BG16" si="10">IF(ISNUMBER((AY15+AZ15)/BA15),(AY15+AZ15)/BA15," - ")</f>
        <v>1.9609442060085838</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208</v>
      </c>
      <c r="J17" s="187">
        <v>540</v>
      </c>
      <c r="K17" s="187">
        <v>528</v>
      </c>
      <c r="L17" s="187">
        <v>227</v>
      </c>
      <c r="M17" s="187">
        <v>86</v>
      </c>
      <c r="N17" s="187">
        <v>351</v>
      </c>
      <c r="O17" s="187">
        <v>4</v>
      </c>
      <c r="P17" s="187">
        <v>2</v>
      </c>
      <c r="Q17" s="187">
        <v>13</v>
      </c>
      <c r="R17" s="187">
        <v>11</v>
      </c>
      <c r="S17" s="187">
        <v>164</v>
      </c>
      <c r="T17" s="187">
        <v>404</v>
      </c>
      <c r="U17" s="187">
        <v>411</v>
      </c>
      <c r="V17" s="187">
        <v>157</v>
      </c>
      <c r="W17" s="187">
        <v>82</v>
      </c>
      <c r="X17" s="193">
        <v>285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164</v>
      </c>
      <c r="AZ17" s="130">
        <f t="shared" si="14"/>
        <v>404</v>
      </c>
      <c r="BA17" s="130">
        <f t="shared" si="14"/>
        <v>411</v>
      </c>
      <c r="BB17" s="130">
        <f t="shared" si="14"/>
        <v>157</v>
      </c>
      <c r="BC17" s="126">
        <f>IF(ISNUMBER(W17),W17," - ")</f>
        <v>82</v>
      </c>
      <c r="BD17" s="127">
        <f>IF(ISNUMBER(BA17/AZ17),BA17/AZ17," - ")</f>
        <v>1.0173267326732673</v>
      </c>
      <c r="BE17" s="128">
        <f>IF(ISNUMBER(BB17/BA17),BB17/BA17, " - ")</f>
        <v>0.38199513381995132</v>
      </c>
      <c r="BF17" s="128">
        <f>IF(ISNUMBER(BC17/BA17),BC17/BA17, " - ")</f>
        <v>0.19951338199513383</v>
      </c>
      <c r="BG17" s="200">
        <f>IF(ISNUMBER((AY17+AZ17)/BA17),(AY17+AZ17)/BA17," - ")</f>
        <v>1.3819951338199514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2711</v>
      </c>
      <c r="J18" s="188">
        <f t="shared" si="15"/>
        <v>3531</v>
      </c>
      <c r="K18" s="188">
        <f t="shared" si="15"/>
        <v>3300</v>
      </c>
      <c r="L18" s="188">
        <f t="shared" si="15"/>
        <v>2971</v>
      </c>
      <c r="M18" s="188">
        <f t="shared" si="15"/>
        <v>474</v>
      </c>
      <c r="N18" s="188">
        <f t="shared" si="15"/>
        <v>1766</v>
      </c>
      <c r="O18" s="188">
        <f t="shared" si="15"/>
        <v>111</v>
      </c>
      <c r="P18" s="188">
        <f t="shared" si="15"/>
        <v>102</v>
      </c>
      <c r="Q18" s="188">
        <f t="shared" si="15"/>
        <v>134</v>
      </c>
      <c r="R18" s="188">
        <f t="shared" si="15"/>
        <v>475</v>
      </c>
      <c r="S18" s="188">
        <f t="shared" si="15"/>
        <v>1911</v>
      </c>
      <c r="T18" s="188">
        <f t="shared" si="15"/>
        <v>3226</v>
      </c>
      <c r="U18" s="188">
        <f t="shared" si="15"/>
        <v>2741</v>
      </c>
      <c r="V18" s="188">
        <f t="shared" si="15"/>
        <v>2323</v>
      </c>
      <c r="W18" s="188">
        <f t="shared" si="15"/>
        <v>474</v>
      </c>
      <c r="X18" s="188">
        <f t="shared" si="15"/>
        <v>1497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1911</v>
      </c>
      <c r="AZ18" s="188">
        <f>SUBTOTAL(9,AZ14:AZ17)</f>
        <v>3226</v>
      </c>
      <c r="BA18" s="188">
        <f>SUBTOTAL(9,BA14:BA17)</f>
        <v>2741</v>
      </c>
      <c r="BB18" s="188">
        <f>SUBTOTAL(9,BB14:BB17)</f>
        <v>2323</v>
      </c>
      <c r="BC18" s="188">
        <f>SUBTOTAL(9,BC14:BC17)</f>
        <v>474</v>
      </c>
      <c r="BD18" s="209">
        <f>IF(ISNUMBER(BA18/AZ18),BA18/AZ18," - ")</f>
        <v>0.84965902045877251</v>
      </c>
      <c r="BE18" s="210">
        <f>IF(ISNUMBER(BB18/BA18),BB18/BA18, " - ")</f>
        <v>0.84750091207588474</v>
      </c>
      <c r="BF18" s="210">
        <f>IF(ISNUMBER(BC18/BA18),BC18/BA18, " - ")</f>
        <v>0.17292958774170011</v>
      </c>
      <c r="BG18" s="211">
        <f>IF(ISNUMBER((AY18+AZ18)/BA18),(AY18+AZ18)/BA18," - ")</f>
        <v>1.8741335279095221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15178</v>
      </c>
      <c r="J19" s="135">
        <f t="shared" si="18"/>
        <v>7432</v>
      </c>
      <c r="K19" s="135">
        <f t="shared" si="18"/>
        <v>6637</v>
      </c>
      <c r="L19" s="135">
        <f t="shared" si="18"/>
        <v>15944</v>
      </c>
      <c r="M19" s="135">
        <f t="shared" si="18"/>
        <v>1448</v>
      </c>
      <c r="N19" s="135">
        <f t="shared" si="18"/>
        <v>3305</v>
      </c>
      <c r="O19" s="135">
        <f t="shared" si="18"/>
        <v>1561</v>
      </c>
      <c r="P19" s="135">
        <f t="shared" si="18"/>
        <v>821</v>
      </c>
      <c r="Q19" s="135">
        <f t="shared" si="18"/>
        <v>646</v>
      </c>
      <c r="R19" s="135">
        <f t="shared" si="18"/>
        <v>15692</v>
      </c>
      <c r="S19" s="135">
        <f t="shared" si="18"/>
        <v>11203</v>
      </c>
      <c r="T19" s="135">
        <f t="shared" si="18"/>
        <v>6727</v>
      </c>
      <c r="U19" s="135">
        <f t="shared" si="18"/>
        <v>6036</v>
      </c>
      <c r="V19" s="135">
        <f t="shared" si="18"/>
        <v>12137</v>
      </c>
      <c r="W19" s="135">
        <f t="shared" si="18"/>
        <v>1247</v>
      </c>
      <c r="X19" s="135">
        <f t="shared" si="18"/>
        <v>3065</v>
      </c>
      <c r="Y19" s="135">
        <f t="shared" si="18"/>
        <v>319</v>
      </c>
      <c r="Z19" s="135">
        <f t="shared" si="18"/>
        <v>296</v>
      </c>
      <c r="AA19" s="135">
        <f t="shared" si="18"/>
        <v>311</v>
      </c>
      <c r="AB19" s="135">
        <f t="shared" si="18"/>
        <v>301</v>
      </c>
      <c r="AC19" s="135">
        <f t="shared" si="18"/>
        <v>0</v>
      </c>
      <c r="AD19" s="135">
        <f t="shared" si="18"/>
        <v>0</v>
      </c>
      <c r="AE19" s="135">
        <f t="shared" si="18"/>
        <v>0</v>
      </c>
      <c r="AF19" s="135">
        <f t="shared" si="18"/>
        <v>0</v>
      </c>
      <c r="AG19" s="135">
        <f t="shared" si="18"/>
        <v>243</v>
      </c>
      <c r="AH19" s="135">
        <f t="shared" si="18"/>
        <v>351</v>
      </c>
      <c r="AI19" s="135">
        <f t="shared" si="18"/>
        <v>352</v>
      </c>
      <c r="AJ19" s="135">
        <f t="shared" si="18"/>
        <v>268</v>
      </c>
      <c r="AK19" s="135">
        <f t="shared" si="18"/>
        <v>0</v>
      </c>
      <c r="AL19" s="135">
        <f t="shared" si="18"/>
        <v>0</v>
      </c>
      <c r="AM19" s="135">
        <f t="shared" si="18"/>
        <v>0</v>
      </c>
      <c r="AN19" s="214">
        <f t="shared" si="18"/>
        <v>0</v>
      </c>
      <c r="AO19" s="215">
        <v>15</v>
      </c>
      <c r="AP19" s="215">
        <v>15</v>
      </c>
      <c r="AQ19" s="215">
        <v>15</v>
      </c>
      <c r="AR19" s="215">
        <v>15</v>
      </c>
      <c r="AS19" s="157">
        <f t="shared" si="18"/>
        <v>0</v>
      </c>
      <c r="AT19" s="157">
        <f t="shared" si="18"/>
        <v>0</v>
      </c>
      <c r="AU19" s="215"/>
      <c r="AV19" s="216"/>
      <c r="AW19" s="215"/>
      <c r="AX19" s="216"/>
      <c r="AY19" s="134">
        <f>SUBTOTAL(9,AY9:AY18)</f>
        <v>11446</v>
      </c>
      <c r="AZ19" s="135">
        <f>SUBTOTAL(9,AZ9:AZ18)</f>
        <v>7078</v>
      </c>
      <c r="BA19" s="135">
        <f>SUBTOTAL(9,BA9:BA18)</f>
        <v>6388</v>
      </c>
      <c r="BB19" s="135">
        <f>SUBTOTAL(9,BB9:BB18)</f>
        <v>12405</v>
      </c>
      <c r="BC19" s="136">
        <f>SUBTOTAL(9,BC9:BC18)</f>
        <v>2048</v>
      </c>
      <c r="BD19" s="217">
        <f>IF(ISNUMBER(BA19/AZ19),BA19/AZ19," - ")</f>
        <v>0.90251483469906757</v>
      </c>
      <c r="BE19" s="214">
        <f>IF(ISNUMBER(BB19/BA19),BB19/BA19, " - ")</f>
        <v>1.9419223544145272</v>
      </c>
      <c r="BF19" s="214">
        <f>IF(ISNUMBER(BC19/BA19),BC19/BA19, " - ")</f>
        <v>0.32060112711333749</v>
      </c>
      <c r="BG19" s="136">
        <f>IF(ISNUMBER((AY19+AZ19)/BA19),(AY19+AZ19)/BA19," - ")</f>
        <v>2.899812147777082</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wvEi2+iN32sjKYBUP40zhk2r4LezD6n6CvmpXg0AOvq+fmsWHpcAMo02Jk9dE4ua0LtZo9LY+TItnKGEM4CQg==" saltValue="xC1DRML9M4EPh8bNGA0K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dgAkctWGbdb2QabPWf4Rm5w+ZE21oCg/R4Qv00tSPSHcIZHSH5dW9YJp6xQfe4zab2Z0eMkZtkyDp6+tAKhaA==" saltValue="O84/d5/oZsA0VtFCJqS+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ELCHE-ELX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121</v>
      </c>
      <c r="O9" s="503"/>
      <c r="P9" s="503"/>
      <c r="Q9" s="501">
        <f>IF(ISNUMBER(Datos!P9),Datos!P9,0)</f>
        <v>626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394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200</v>
      </c>
      <c r="AI9" s="503" t="str">
        <f>IF(ISNUMBER(Datos!CD9),Datos!CD9,"-")</f>
        <v>-</v>
      </c>
      <c r="AJ9" s="503" t="str">
        <f>IF(ISNUMBER(Datos!EN9),Datos!EN9," - ")</f>
        <v xml:space="preserve"> - </v>
      </c>
      <c r="AK9" s="503"/>
      <c r="AL9" s="504"/>
      <c r="AM9" s="671">
        <f>IF(ISNUMBER(Datos!R9),Datos!R9," - ")</f>
        <v>13183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750</v>
      </c>
      <c r="BD9" s="619">
        <f>IF(ISNUMBER(Datos!N9),Datos!N9," - ")</f>
        <v>1221</v>
      </c>
      <c r="BE9" s="619" t="str">
        <f>IF(ISNUMBER(Datos!BW9),Datos!BW9," - ")</f>
        <v xml:space="preserve"> - </v>
      </c>
      <c r="BF9" s="667" t="str">
        <f>IF(ISNUMBER(Datos!BX9),Datos!BX9," - ")</f>
        <v xml:space="preserve"> - </v>
      </c>
      <c r="BG9" s="668">
        <f>IF(ISNUMBER(IF(J_V="SI",Datos!K9/Datos!J9,(Datos!K9+Datos!AA9)/(Datos!J9+Datos!Z9))),IF(J_V="SI",Datos!K9/Datos!J9,(Datos!K9+Datos!AA9)/(Datos!J9+Datos!Z9))," - ")</f>
        <v>0.82839575181665737</v>
      </c>
      <c r="BH9" s="669">
        <f>IF(ISNUMBER(((IF(J_V="SI",Datos!L9/Datos!K9,(Datos!L9+Datos!AB9)/(Datos!K9+Datos!AA9)))*11)/factor_trimestre),((IF(J_V="SI",Datos!L9/Datos!K9,(Datos!L9+Datos!AB9)/(Datos!K9+Datos!AA9)))*11)/factor_trimestre," - ")</f>
        <v>8.2354925775978405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1.7913674619720484E-2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130</v>
      </c>
      <c r="G10" s="497">
        <f>IF(ISNUMBER(Datos!I10),Datos!I10," - ")</f>
        <v>130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73</v>
      </c>
      <c r="AC10" s="501">
        <f>IF(ISNUMBER(Datos!Q10),Datos!Q10," - ")</f>
        <v>15</v>
      </c>
      <c r="AD10" s="503"/>
      <c r="AE10" s="516"/>
      <c r="AF10" s="505">
        <f>IF(ISNUMBER(Datos!L10),Datos!L10,"-")</f>
        <v>135</v>
      </c>
      <c r="AG10" s="503"/>
      <c r="AH10" s="503"/>
      <c r="AI10" s="503"/>
      <c r="AJ10" s="503"/>
      <c r="AK10" s="503"/>
      <c r="AL10" s="504"/>
      <c r="AM10" s="671">
        <f>IF(ISNUMBER(Datos!R10),Datos!R10," - ")</f>
        <v>196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39</v>
      </c>
      <c r="BE10" s="619" t="str">
        <f>IF(ISNUMBER(Datos!BW10),Datos!BW10," - ")</f>
        <v xml:space="preserve"> - </v>
      </c>
      <c r="BF10" s="667" t="str">
        <f>IF(ISNUMBER(Datos!BX10),Datos!BX10," - ")</f>
        <v xml:space="preserve"> - </v>
      </c>
      <c r="BG10" s="668">
        <f>IF(ISNUMBER(Datos!K10/Datos!J10),Datos!K10/Datos!J10," - ")</f>
        <v>0.9358974358974359</v>
      </c>
      <c r="BH10" s="669">
        <f>IF(ISNUMBER(((Datos!L10/Datos!K10)*11)/factor_trimestre),((Datos!L10/Datos!K10)*11)/factor_trimestre," - ")</f>
        <v>3.6986301369863015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175</v>
      </c>
      <c r="O11" s="503"/>
      <c r="P11" s="503"/>
      <c r="Q11" s="501">
        <f>IF(ISNUMBER(Datos!P11),Datos!P11,0)</f>
        <v>78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103</v>
      </c>
      <c r="AD11" s="503"/>
      <c r="AE11" s="516"/>
      <c r="AF11" s="505" t="str">
        <f>IF(ISNUMBER(IF(J_V="SI",Datos!L11,Datos!L11+Datos!AB11)-IF(Monitorios="SI",Datos!CD11,0)),
                          IF(J_V="SI",Datos!L11,Datos!L11+Datos!AB11)-IF(Monitorios="SI",Datos!CD11,0),
                          " - ")</f>
        <v xml:space="preserve"> - </v>
      </c>
      <c r="AG11" s="503"/>
      <c r="AH11" s="503">
        <f>IF(ISNUMBER(Datos!AB11),Datos!AB11,"-")</f>
        <v>101</v>
      </c>
      <c r="AI11" s="503"/>
      <c r="AJ11" s="503"/>
      <c r="AK11" s="503"/>
      <c r="AL11" s="504"/>
      <c r="AM11" s="671">
        <f>IF(ISNUMBER(Datos!R11),Datos!R11," - ")</f>
        <v>1838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209</v>
      </c>
      <c r="BD11" s="619">
        <f>IF(ISNUMBER(Datos!N11),Datos!N11," - ")</f>
        <v>279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1.1293900184842884</v>
      </c>
      <c r="BH11" s="669">
        <f>IF(ISNUMBER(((IF(J_V="SI",Datos!L11/Datos!K11,(Datos!L11+Datos!AB11)/(Datos!K11+Datos!AA11)))*11)/factor_trimestre),((IF(J_V="SI",Datos!L11/Datos!K11,(Datos!L11+Datos!AB11)/(Datos!K11+Datos!AA11)))*11)/factor_trimestre," - ")</f>
        <v>3.0572831423895255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-1.3419216317767043E-2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130</v>
      </c>
      <c r="G13" s="1044">
        <f t="shared" si="0"/>
        <v>130</v>
      </c>
      <c r="H13" s="1045">
        <f t="shared" si="0"/>
        <v>0</v>
      </c>
      <c r="I13" s="1044">
        <f t="shared" si="0"/>
        <v>0</v>
      </c>
      <c r="J13" s="1013">
        <f t="shared" si="0"/>
        <v>0</v>
      </c>
      <c r="K13" s="1013">
        <f t="shared" si="0"/>
        <v>0</v>
      </c>
      <c r="L13" s="1045">
        <f t="shared" si="0"/>
        <v>0</v>
      </c>
      <c r="M13" s="1045">
        <f t="shared" si="0"/>
        <v>0</v>
      </c>
      <c r="N13" s="1045">
        <f t="shared" si="0"/>
        <v>296</v>
      </c>
      <c r="O13" s="1046">
        <f t="shared" si="0"/>
        <v>0</v>
      </c>
      <c r="P13" s="1046">
        <f t="shared" si="0"/>
        <v>0</v>
      </c>
      <c r="Q13" s="1045">
        <f t="shared" si="0"/>
        <v>719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73</v>
      </c>
      <c r="AC13" s="1045">
        <f t="shared" si="1"/>
        <v>512</v>
      </c>
      <c r="AD13" s="1045">
        <f t="shared" si="1"/>
        <v>0</v>
      </c>
      <c r="AE13" s="1045">
        <f t="shared" si="1"/>
        <v>0</v>
      </c>
      <c r="AF13" s="1045">
        <f t="shared" si="1"/>
        <v>135</v>
      </c>
      <c r="AG13" s="1045">
        <f t="shared" si="1"/>
        <v>0</v>
      </c>
      <c r="AH13" s="1045">
        <f t="shared" si="1"/>
        <v>301</v>
      </c>
      <c r="AI13" s="1045">
        <f t="shared" si="1"/>
        <v>0</v>
      </c>
      <c r="AJ13" s="1045">
        <f t="shared" si="1"/>
        <v>0</v>
      </c>
      <c r="AK13" s="1045">
        <f t="shared" si="1"/>
        <v>0</v>
      </c>
      <c r="AL13" s="1045">
        <f t="shared" si="1"/>
        <v>0</v>
      </c>
      <c r="AM13" s="1045">
        <f t="shared" si="1"/>
        <v>15217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974</v>
      </c>
      <c r="BD13" s="1045">
        <f t="shared" si="1"/>
        <v>1539</v>
      </c>
      <c r="BE13" s="1045">
        <f t="shared" si="1"/>
        <v>0</v>
      </c>
      <c r="BF13" s="1045">
        <f t="shared" si="1"/>
        <v>0</v>
      </c>
      <c r="BG13" s="1045">
        <f>IF(ISNUMBER(Datos!K13/Datos!J13),Datos!K13/Datos!J13," - ")</f>
        <v>0.85542168674698793</v>
      </c>
      <c r="BH13" s="1049">
        <f>IF(ISNUMBER(((Datos!L13/Datos!K13)*11)/factor_trimestre),((Datos!L13/Datos!K13)*11)/factor_trimestre," - ")</f>
        <v>7.7752472280491451</v>
      </c>
      <c r="BI13" s="1045">
        <f>IF(ISNUMBER('Resol  Asuntos'!D13/NºAsuntos!G13),'Resol  Asuntos'!D13/NºAsuntos!G13," - ")</f>
        <v>0.2669956140350877</v>
      </c>
      <c r="BJ13" s="1045" t="str">
        <f>IF(ISNUMBER(Datos!CI13/Datos!CJ13),Datos!CI13/Datos!CJ13," - ")</f>
        <v xml:space="preserve"> - </v>
      </c>
      <c r="BK13" s="1045">
        <f>SUBTOTAL(9,BK8:BK12)</f>
        <v>0</v>
      </c>
      <c r="BL13" s="1045">
        <f>IF(ISNUMBER((I13-AB13+L13)/(F13)),(I13-AB13+L13)/(F13)," - ")</f>
        <v>-0.56153846153846154</v>
      </c>
      <c r="BM13" s="1050">
        <f>SUBTOTAL(9,BM9:BM12)</f>
        <v>4.4944583019534412E-3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2525</v>
      </c>
      <c r="G15" s="650">
        <f>IF(ISNUMBER(IF(D_I="SI",Datos!I15,Datos!I15+Datos!AC15)),IF(D_I="SI",Datos!I15,Datos!I15+Datos!AC15)," - ")</f>
        <v>2503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2772</v>
      </c>
      <c r="AC15" s="230">
        <f>IF(ISNUMBER(Datos!Q15),Datos!Q15," - ")</f>
        <v>121</v>
      </c>
      <c r="AD15" s="343"/>
      <c r="AE15" s="515"/>
      <c r="AF15" s="648">
        <f>IF(ISNUMBER(IF(D_I="SI",Datos!L15,Datos!L15+Datos!AF15)),IF(D_I="SI",Datos!L15,Datos!L15+Datos!AF15)," - ")</f>
        <v>2744</v>
      </c>
      <c r="AG15" s="343"/>
      <c r="AH15" s="343"/>
      <c r="AI15" s="343"/>
      <c r="AJ15" s="503"/>
      <c r="AK15" s="343"/>
      <c r="AL15" s="499"/>
      <c r="AM15" s="344">
        <f>IF(ISNUMBER(Datos!R15),Datos!R15," - ")</f>
        <v>464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388</v>
      </c>
      <c r="BD15" s="233">
        <f>IF(ISNUMBER(Datos!N15),Datos!N15," - ")</f>
        <v>1415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0.92678034102306917</v>
      </c>
      <c r="BH15" s="669">
        <f>IF(ISNUMBER(((IF(D_I="SI",Datos!L15/Datos!K15,(Datos!L15+Datos!AF15)/(Datos!K15+Datos!AE15)))*11)/factor_trimestre),((IF(D_I="SI",Datos!L15/Datos!K15,(Datos!L15+Datos!AF15)/(Datos!K15+Datos!AE15)))*11)/factor_trimestre," - ")</f>
        <v>1.9797979797979799</v>
      </c>
      <c r="BI15" s="247">
        <f>IF(ISNUMBER('Resol  Asuntos'!D15/NºAsuntos!G15),'Resol  Asuntos'!D15/NºAsuntos!G15," - ")</f>
        <v>0.13997113997113997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208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528</v>
      </c>
      <c r="AC17" s="501">
        <f>IF(ISNUMBER(Datos!Q17),Datos!Q17," - ")</f>
        <v>13</v>
      </c>
      <c r="AD17" s="503"/>
      <c r="AE17" s="515"/>
      <c r="AF17" s="505">
        <f>IF(ISNUMBER(Datos!L17),Datos!L17,"-")</f>
        <v>227</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86</v>
      </c>
      <c r="BD17" s="619">
        <f>IF(ISNUMBER(Datos!N17),Datos!N17," - ")</f>
        <v>351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0.97777777777777775</v>
      </c>
      <c r="BH17" s="669">
        <f>IF(ISNUMBER(((IF(D_I="SI",Datos!L17/Datos!K17,(Datos!L17+Datos!AF17)/(Datos!K17+Datos!AE17)))*11)/factor_trimestre),((IF(D_I="SI",Datos!L17/Datos!K17,(Datos!L17+Datos!AF17)/(Datos!K17+Datos!AE17)))*11)/factor_trimestre," - ")</f>
        <v>0.85984848484848486</v>
      </c>
      <c r="BI17" s="668">
        <f>IF(ISNUMBER('Resol  Asuntos'!D17/NºAsuntos!G17),'Resol  Asuntos'!D17/NºAsuntos!G17," - ")</f>
        <v>0.16287878787878787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2525</v>
      </c>
      <c r="G18" s="1044">
        <f>SUBTOTAL(9,G15:G17)</f>
        <v>2711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3300</v>
      </c>
      <c r="AC18" s="1045">
        <f t="shared" si="4"/>
        <v>134</v>
      </c>
      <c r="AD18" s="1045">
        <f t="shared" si="4"/>
        <v>0</v>
      </c>
      <c r="AE18" s="1045">
        <f t="shared" si="4"/>
        <v>0</v>
      </c>
      <c r="AF18" s="1045">
        <f t="shared" si="4"/>
        <v>2971</v>
      </c>
      <c r="AG18" s="1045">
        <f t="shared" si="4"/>
        <v>0</v>
      </c>
      <c r="AH18" s="1045">
        <f t="shared" si="4"/>
        <v>0</v>
      </c>
      <c r="AI18" s="1045">
        <f t="shared" si="4"/>
        <v>0</v>
      </c>
      <c r="AJ18" s="1045">
        <f t="shared" si="4"/>
        <v>0</v>
      </c>
      <c r="AK18" s="1045">
        <f t="shared" si="4"/>
        <v>0</v>
      </c>
      <c r="AL18" s="1045">
        <f t="shared" si="4"/>
        <v>0</v>
      </c>
      <c r="AM18" s="1045">
        <f t="shared" si="4"/>
        <v>475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474</v>
      </c>
      <c r="BD18" s="1045">
        <f t="shared" si="4"/>
        <v>1766</v>
      </c>
      <c r="BE18" s="1045">
        <f t="shared" si="4"/>
        <v>0</v>
      </c>
      <c r="BF18" s="1045">
        <f t="shared" si="4"/>
        <v>0</v>
      </c>
      <c r="BG18" s="1045">
        <f>IF(ISNUMBER(Datos!K18/Datos!J18),Datos!K18/Datos!J18," - ")</f>
        <v>0.93457943925233644</v>
      </c>
      <c r="BH18" s="1049">
        <f>IF(ISNUMBER(((Datos!L18/Datos!K18)*11)/factor_trimestre),((Datos!L18/Datos!K18)*11)/factor_trimestre," - ")</f>
        <v>1.8006060606060605</v>
      </c>
      <c r="BI18" s="1045">
        <f>SUBTOTAL(9,BI15:BI17)</f>
        <v>0.30284992784992781</v>
      </c>
      <c r="BJ18" s="1045">
        <f>SUBTOTAL(9,BJ15:BJ17)</f>
        <v>0</v>
      </c>
      <c r="BK18" s="1045">
        <f>SUBTOTAL(9,BK15:BK17)</f>
        <v>0</v>
      </c>
      <c r="BL18" s="1045">
        <f>IF(ISNUMBER((I18-AB18+L18)/(F18)),(I18-AB18+L18)/(F18)," - ")</f>
        <v>-1.306930693069307</v>
      </c>
      <c r="BM18" s="1051">
        <f>IF(ISNUMBER((Datos!P18-Datos!Q18)/(Datos!R18-Datos!P18+Datos!Q18)),(Datos!P18-Datos!Q18)/(Datos!R18-Datos!P18+Datos!Q18)," - ")</f>
        <v>-6.3116370808678504E-2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17</v>
      </c>
      <c r="F19" s="966">
        <f t="shared" si="6"/>
        <v>2655</v>
      </c>
      <c r="G19" s="966">
        <f t="shared" si="6"/>
        <v>2841</v>
      </c>
      <c r="H19" s="968">
        <f t="shared" si="6"/>
        <v>0</v>
      </c>
      <c r="I19" s="966">
        <f t="shared" si="6"/>
        <v>0</v>
      </c>
      <c r="J19" s="968">
        <f t="shared" si="6"/>
        <v>0</v>
      </c>
      <c r="K19" s="968">
        <f t="shared" si="6"/>
        <v>0</v>
      </c>
      <c r="L19" s="1027">
        <f t="shared" si="6"/>
        <v>0</v>
      </c>
      <c r="M19" s="1027">
        <f t="shared" si="6"/>
        <v>0</v>
      </c>
      <c r="N19" s="1027">
        <f t="shared" si="6"/>
        <v>296</v>
      </c>
      <c r="O19" s="1027">
        <f t="shared" si="6"/>
        <v>0</v>
      </c>
      <c r="P19" s="1027">
        <f t="shared" si="6"/>
        <v>0</v>
      </c>
      <c r="Q19" s="968">
        <f t="shared" si="6"/>
        <v>821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3373</v>
      </c>
      <c r="AC19" s="967">
        <f t="shared" si="7"/>
        <v>646</v>
      </c>
      <c r="AD19" s="967">
        <f t="shared" si="7"/>
        <v>0</v>
      </c>
      <c r="AE19" s="967">
        <f t="shared" si="7"/>
        <v>0</v>
      </c>
      <c r="AF19" s="974">
        <f t="shared" si="7"/>
        <v>3106</v>
      </c>
      <c r="AG19" s="974">
        <f t="shared" si="7"/>
        <v>0</v>
      </c>
      <c r="AH19" s="974">
        <f t="shared" si="7"/>
        <v>301</v>
      </c>
      <c r="AI19" s="974">
        <f t="shared" si="7"/>
        <v>0</v>
      </c>
      <c r="AJ19" s="967">
        <f t="shared" si="7"/>
        <v>0</v>
      </c>
      <c r="AK19" s="974">
        <f t="shared" si="7"/>
        <v>0</v>
      </c>
      <c r="AL19" s="974">
        <f t="shared" si="7"/>
        <v>0</v>
      </c>
      <c r="AM19" s="974">
        <f t="shared" si="7"/>
        <v>15692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1448</v>
      </c>
      <c r="BD19" s="966">
        <f t="shared" si="7"/>
        <v>3305</v>
      </c>
      <c r="BE19" s="966">
        <f t="shared" si="7"/>
        <v>0</v>
      </c>
      <c r="BF19" s="976">
        <f t="shared" si="7"/>
        <v>0</v>
      </c>
      <c r="BG19" s="1061">
        <f>IF(ISNUMBER(Datos!K19/Datos!J19),Datos!K19/Datos!J19," - ")</f>
        <v>0.89303013993541447</v>
      </c>
      <c r="BH19" s="1061">
        <f>IF(ISNUMBER(((Datos!L19/Datos!K19)*11)/factor_trimestre),((Datos!L19/Datos!K19)*11)/factor_trimestre," - ")</f>
        <v>4.8045803827030289</v>
      </c>
      <c r="BI19" s="959">
        <f>IF(ISNUMBER(Datos!J19/Datos!I19),Datos!J19/Datos!I19," - ")</f>
        <v>0.48965608117011467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-1.2704331450094162</v>
      </c>
      <c r="BM19" s="1035">
        <f>IF(ISNUMBER((Datos!P19-Datos!Q19+R19)/(Datos!R19-Datos!P19+Datos!Q19-R19)),(Datos!P19-Datos!Q19+R19)/(Datos!R19-Datos!P19+Datos!Q19-R19)," - ")</f>
        <v>1.1277953212605529E-2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1136.4000000000001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3.419714088113865</v>
      </c>
      <c r="F21" s="599">
        <f>IF(ISNUMBER(STDEV(F8:F18)),STDEV(F8:F18),"-")</f>
        <v>1382.7538947091537</v>
      </c>
      <c r="G21" s="600">
        <f>IF(ISNUMBER(STDEV(G8:G18)),STDEV(G8:G18),"-")</f>
        <v>1344.8577248170157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1562.1877928085344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351.08912177475884</v>
      </c>
      <c r="BD21" s="599"/>
      <c r="BE21" s="599">
        <f>IF(ISNUMBER(STDEV(BE8:BE18)),STDEV(BE8:BE18),"-")</f>
        <v>0</v>
      </c>
      <c r="BF21" s="604">
        <f>IF(ISNUMBER(STDEV(BF8:BF18)),STDEV(BF8:BF18),"-")</f>
        <v>0</v>
      </c>
      <c r="BG21" s="914">
        <f>IF(ISNUMBER(STDEV(BG8:BG18)),STDEV(BG8:BG18),"-")</f>
        <v>9.7567076368644298E-2</v>
      </c>
      <c r="BH21" s="918">
        <f>IF(ISNUMBER(STDEV(BH8:BH18)),STDEV(BH8:BH18),"-")</f>
        <v>2.9410961038331984</v>
      </c>
      <c r="BI21" s="253">
        <f>IF(ISNUMBER(STDEV(BI8:BI18)),STDEV(BI8:BI18),"-")</f>
        <v>7.9008038735287847E-2</v>
      </c>
      <c r="BJ21" s="234" t="str">
        <f>IF(ISNUMBER(BL21/BM21),BL21/BM21," - ")</f>
        <v xml:space="preserve"> - </v>
      </c>
      <c r="BK21" s="626"/>
      <c r="BL21" s="607">
        <f>IF(ISNUMBER(STDEV(BL8:BL18)),STDEV(BL8:BL18),"-")</f>
        <v>0.52707190155923389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SLnJy30+kVn0gWQLhkjxHJUorr8e7khg1ycShxGwVJ+PSGxC7hFKTSqA+9w4Lq0XFf1QL1FldE5bbbDbDmN2A==" saltValue="dY1nR1NPjhjwBszFUG8y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ELCHE-ELX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626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394</v>
      </c>
      <c r="AA9" s="505" t="str">
        <f>IF(ISNUMBER(IF(J_V="SI",Datos!L9,Datos!L9+Datos!AB9)-IF(Monitorios="SI",Datos!CD9,0)),
                          IF(J_V="SI",Datos!L9,Datos!L9+Datos!AB9)-IF(Monitorios="SI",Datos!CD9,0),
                          " - ")</f>
        <v xml:space="preserve"> - </v>
      </c>
      <c r="AB9" s="503"/>
      <c r="AC9" s="503"/>
      <c r="AD9" s="516"/>
      <c r="AE9" s="516">
        <f>IF(ISNUMBER(Datos!R9),Datos!R9," - ")</f>
        <v>13183</v>
      </c>
      <c r="AF9" s="619" t="str">
        <f>IF(ISNUMBER(Datos!BV9),Datos!BV9," - ")</f>
        <v xml:space="preserve"> - </v>
      </c>
      <c r="AG9" s="506" t="str">
        <f>IF(ISNUMBER(Datos!DV9),Datos!DV9," - ")</f>
        <v xml:space="preserve"> - </v>
      </c>
      <c r="AH9" s="507"/>
      <c r="AI9" s="508"/>
      <c r="AJ9" s="506">
        <f>IF(ISNUMBER(Datos!M9),Datos!M9," - ")</f>
        <v>750</v>
      </c>
      <c r="AK9" s="619">
        <f>IF(ISNUMBER(Datos!N9),Datos!N9," - ")</f>
        <v>1221</v>
      </c>
      <c r="AL9" s="619" t="str">
        <f>IF(ISNUMBER(Datos!BW9),Datos!BW9," - ")</f>
        <v xml:space="preserve"> - </v>
      </c>
      <c r="AM9" s="667" t="str">
        <f>IF(ISNUMBER(Datos!BX9),Datos!BX9," - ")</f>
        <v xml:space="preserve"> - </v>
      </c>
      <c r="AN9" s="668"/>
      <c r="AO9" s="669">
        <f>IF(ISNUMBER(((NºAsuntos!I9/NºAsuntos!G9)*11)/factor_trimestre),((NºAsuntos!I9/NºAsuntos!G9)*11)/factor_trimestre," - ")</f>
        <v>8.2354925775978405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1.7913674619720484E-2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130</v>
      </c>
      <c r="G10" s="506">
        <f>IF(ISNUMBER(Datos!I10),Datos!I10," - ")</f>
        <v>130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73</v>
      </c>
      <c r="Z10" s="703">
        <f>IF(ISNUMBER(Datos!Q10),Datos!Q10," - ")</f>
        <v>15</v>
      </c>
      <c r="AA10" s="505">
        <f>IF(ISNUMBER(Datos!L10),Datos!L10,"-")</f>
        <v>135</v>
      </c>
      <c r="AB10" s="503"/>
      <c r="AC10" s="503"/>
      <c r="AD10" s="516"/>
      <c r="AE10" s="516">
        <f>IF(ISNUMBER(Datos!R10),Datos!R10," - ")</f>
        <v>196</v>
      </c>
      <c r="AF10" s="619" t="str">
        <f>IF(ISNUMBER(Datos!BV10),Datos!BV10," - ")</f>
        <v xml:space="preserve"> - </v>
      </c>
      <c r="AG10" s="506" t="str">
        <f>IF(ISNUMBER(Datos!DV10),Datos!DV10," - ")</f>
        <v xml:space="preserve"> - </v>
      </c>
      <c r="AH10" s="507"/>
      <c r="AI10" s="508"/>
      <c r="AJ10" s="506">
        <f>IF(ISNUMBER(Datos!M10),Datos!M10," - ")</f>
        <v>15</v>
      </c>
      <c r="AK10" s="619">
        <f>IF(ISNUMBER(Datos!N10),Datos!N10," - ")</f>
        <v>39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3.6986301369863015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103</v>
      </c>
      <c r="AA11" s="505" t="str">
        <f>IF(ISNUMBER(IF(J_V="SI",Datos!L11,Datos!L11+Datos!AB11)-IF(Monitorios="SI",Datos!CD11,0)),
                          IF(J_V="SI",Datos!L11,Datos!L11+Datos!AB11)-IF(Monitorios="SI",Datos!CD11,0),
                          " - ")</f>
        <v xml:space="preserve"> - </v>
      </c>
      <c r="AB11" s="503"/>
      <c r="AC11" s="503"/>
      <c r="AD11" s="516"/>
      <c r="AE11" s="516">
        <f>IF(ISNUMBER(Datos!R11),Datos!R11," - ")</f>
        <v>1838</v>
      </c>
      <c r="AF11" s="619" t="str">
        <f>IF(ISNUMBER(Datos!BV11),Datos!BV11," - ")</f>
        <v xml:space="preserve"> - </v>
      </c>
      <c r="AG11" s="506" t="str">
        <f>IF(ISNUMBER(Datos!DV11),Datos!DV11," - ")</f>
        <v xml:space="preserve"> - </v>
      </c>
      <c r="AH11" s="507"/>
      <c r="AI11" s="508"/>
      <c r="AJ11" s="506">
        <f>IF(ISNUMBER(Datos!M11),Datos!M11," - ")</f>
        <v>209</v>
      </c>
      <c r="AK11" s="619">
        <f>IF(ISNUMBER(Datos!N11),Datos!N11," - ")</f>
        <v>279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3.0572831423895255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-1.3419216317767043E-2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130</v>
      </c>
      <c r="G13" s="1044">
        <f>SUBTOTAL(9,G8:G12)</f>
        <v>130</v>
      </c>
      <c r="H13" s="1054"/>
      <c r="I13" s="1044">
        <f t="shared" ref="I13:N13" si="0">SUBTOTAL(9,I8:I12)</f>
        <v>0</v>
      </c>
      <c r="J13" s="1013">
        <f t="shared" si="0"/>
        <v>0</v>
      </c>
      <c r="K13" s="1054">
        <f t="shared" si="0"/>
        <v>0</v>
      </c>
      <c r="L13" s="1054">
        <f t="shared" si="0"/>
        <v>0</v>
      </c>
      <c r="M13" s="1054">
        <f t="shared" si="0"/>
        <v>0</v>
      </c>
      <c r="N13" s="1054">
        <f t="shared" si="0"/>
        <v>719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73</v>
      </c>
      <c r="Z13" s="1053">
        <f t="shared" si="2"/>
        <v>512</v>
      </c>
      <c r="AA13" s="1046">
        <f t="shared" si="2"/>
        <v>135</v>
      </c>
      <c r="AB13" s="1046">
        <f t="shared" si="2"/>
        <v>0</v>
      </c>
      <c r="AC13" s="1046">
        <f t="shared" si="2"/>
        <v>0</v>
      </c>
      <c r="AD13" s="1046">
        <f t="shared" si="2"/>
        <v>0</v>
      </c>
      <c r="AE13" s="1046">
        <f t="shared" si="2"/>
        <v>15217</v>
      </c>
      <c r="AF13" s="1054">
        <f t="shared" si="2"/>
        <v>0</v>
      </c>
      <c r="AG13" s="1054">
        <f t="shared" si="2"/>
        <v>0</v>
      </c>
      <c r="AH13" s="1054">
        <f t="shared" si="2"/>
        <v>0</v>
      </c>
      <c r="AI13" s="1054">
        <f t="shared" si="2"/>
        <v>0</v>
      </c>
      <c r="AJ13" s="1054">
        <f t="shared" si="2"/>
        <v>974</v>
      </c>
      <c r="AK13" s="1054">
        <f t="shared" si="2"/>
        <v>1539</v>
      </c>
      <c r="AL13" s="1054">
        <f t="shared" si="2"/>
        <v>0</v>
      </c>
      <c r="AM13" s="1054">
        <f t="shared" si="2"/>
        <v>0</v>
      </c>
      <c r="AN13" s="1054">
        <f t="shared" si="2"/>
        <v>0</v>
      </c>
      <c r="AO13" s="1050">
        <f>IF(ISNUMBER(((NºAsuntos!I13/NºAsuntos!G13)*11)/factor_trimestre),((NºAsuntos!I13/NºAsuntos!G13)*11)/factor_trimestre," - ")</f>
        <v>7.2774122807017543</v>
      </c>
      <c r="AP13" s="1056" t="str">
        <f>IF(ISNUMBER(Datos!CI13/Datos!CJ13),Datos!CI13/Datos!CJ13," - ")</f>
        <v xml:space="preserve"> - </v>
      </c>
      <c r="AQ13" s="1074">
        <f t="shared" ref="AQ13:AV13" si="3">SUBTOTAL(9,AQ9:AQ12)</f>
        <v>0</v>
      </c>
      <c r="AR13" s="1074">
        <f t="shared" si="3"/>
        <v>4.4944583019534412E-3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2525</v>
      </c>
      <c r="G15" s="506">
        <f>IF(ISNUMBER(IF(D_I="SI",Datos!I15,Datos!I15+Datos!AC15)),IF(D_I="SI",Datos!I15,Datos!I15+Datos!AC15)," - ")</f>
        <v>2503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2772</v>
      </c>
      <c r="Z15" s="703">
        <f>IF(ISNUMBER(Datos!Q15),Datos!Q15," - ")</f>
        <v>121</v>
      </c>
      <c r="AA15" s="505">
        <f>IF(ISNUMBER(IF(D_I="SI",Datos!L15,Datos!L15+Datos!AF15)),IF(D_I="SI",Datos!L15,Datos!L15+Datos!AF15)," - ")</f>
        <v>2744</v>
      </c>
      <c r="AB15" s="503"/>
      <c r="AC15" s="503"/>
      <c r="AD15" s="516"/>
      <c r="AE15" s="516">
        <f>IF(ISNUMBER(Datos!R15),Datos!R15," - ")</f>
        <v>464</v>
      </c>
      <c r="AF15" s="619" t="str">
        <f>IF(ISNUMBER(Datos!BV15),Datos!BV15," - ")</f>
        <v xml:space="preserve"> - </v>
      </c>
      <c r="AG15" s="506"/>
      <c r="AH15" s="507"/>
      <c r="AI15" s="508"/>
      <c r="AJ15" s="506">
        <f>IF(ISNUMBER(Datos!M15),Datos!M15," - ")</f>
        <v>388</v>
      </c>
      <c r="AK15" s="619">
        <f>IF(ISNUMBER(Datos!N15),Datos!N15," - ")</f>
        <v>1415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1.9797979797979799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208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528</v>
      </c>
      <c r="Z17" s="703">
        <f>IF(ISNUMBER(Datos!Q17),Datos!Q17," - ")</f>
        <v>13</v>
      </c>
      <c r="AA17" s="505">
        <f>IF(ISNUMBER(Datos!L17),Datos!L17,"-")</f>
        <v>227</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86</v>
      </c>
      <c r="AK17" s="619">
        <f>IF(ISNUMBER(Datos!N17),Datos!N17," - ")</f>
        <v>351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0.85984848484848486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2525</v>
      </c>
      <c r="G18" s="1044">
        <f>SUBTOTAL(9,G15:G17)</f>
        <v>2711</v>
      </c>
      <c r="H18" s="1078">
        <f>SUBTOTAL(9,H15:H17)</f>
        <v>0</v>
      </c>
      <c r="I18" s="1057">
        <f>SUBTOTAL(9,I15:I17)</f>
        <v>0</v>
      </c>
      <c r="J18" s="1013">
        <f>SUBTOTAL(9,J14:J17)</f>
        <v>0</v>
      </c>
      <c r="K18" s="1078">
        <f t="shared" ref="K18:S18" si="4">SUBTOTAL(9,K15:K17)</f>
        <v>0</v>
      </c>
      <c r="L18" s="1078">
        <f t="shared" si="4"/>
        <v>0</v>
      </c>
      <c r="M18" s="1078">
        <f t="shared" si="4"/>
        <v>0</v>
      </c>
      <c r="N18" s="1078">
        <f t="shared" si="4"/>
        <v>102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3300</v>
      </c>
      <c r="Z18" s="1078">
        <f t="shared" si="5"/>
        <v>134</v>
      </c>
      <c r="AA18" s="1078">
        <f t="shared" si="5"/>
        <v>2971</v>
      </c>
      <c r="AB18" s="1078">
        <f t="shared" si="5"/>
        <v>0</v>
      </c>
      <c r="AC18" s="1078">
        <f t="shared" si="5"/>
        <v>0</v>
      </c>
      <c r="AD18" s="1078">
        <f t="shared" si="5"/>
        <v>0</v>
      </c>
      <c r="AE18" s="1078">
        <f t="shared" si="5"/>
        <v>475</v>
      </c>
      <c r="AF18" s="1078">
        <f t="shared" si="5"/>
        <v>0</v>
      </c>
      <c r="AG18" s="1078">
        <f t="shared" si="5"/>
        <v>0</v>
      </c>
      <c r="AH18" s="1078">
        <f t="shared" si="5"/>
        <v>0</v>
      </c>
      <c r="AI18" s="1078">
        <f t="shared" si="5"/>
        <v>0</v>
      </c>
      <c r="AJ18" s="1078">
        <f t="shared" si="5"/>
        <v>474</v>
      </c>
      <c r="AK18" s="1078">
        <f t="shared" si="5"/>
        <v>1766</v>
      </c>
      <c r="AL18" s="1078">
        <f t="shared" si="5"/>
        <v>0</v>
      </c>
      <c r="AM18" s="1078">
        <f t="shared" si="5"/>
        <v>0</v>
      </c>
      <c r="AN18" s="1078">
        <f t="shared" si="5"/>
        <v>0</v>
      </c>
      <c r="AO18" s="1080">
        <f>IF(ISNUMBER(((NºAsuntos!I18/NºAsuntos!G18)*11)/factor_trimestre),((NºAsuntos!I18/NºAsuntos!G18)*11)/factor_trimestre," - ")</f>
        <v>1.8006060606060605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2655</v>
      </c>
      <c r="G19" s="966">
        <f t="shared" si="7"/>
        <v>2841</v>
      </c>
      <c r="H19" s="967">
        <f t="shared" si="7"/>
        <v>0</v>
      </c>
      <c r="I19" s="966">
        <f t="shared" si="7"/>
        <v>0</v>
      </c>
      <c r="J19" s="968">
        <f t="shared" si="7"/>
        <v>0</v>
      </c>
      <c r="K19" s="966">
        <f t="shared" si="7"/>
        <v>0</v>
      </c>
      <c r="L19" s="969">
        <f t="shared" si="7"/>
        <v>0</v>
      </c>
      <c r="M19" s="966">
        <f t="shared" si="7"/>
        <v>0</v>
      </c>
      <c r="N19" s="967">
        <f t="shared" si="7"/>
        <v>821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3373</v>
      </c>
      <c r="Z19" s="973">
        <f t="shared" si="8"/>
        <v>646</v>
      </c>
      <c r="AA19" s="974">
        <f t="shared" si="8"/>
        <v>3106</v>
      </c>
      <c r="AB19" s="974">
        <f t="shared" si="8"/>
        <v>0</v>
      </c>
      <c r="AC19" s="974">
        <f t="shared" si="8"/>
        <v>0</v>
      </c>
      <c r="AD19" s="975">
        <f t="shared" si="8"/>
        <v>0</v>
      </c>
      <c r="AE19" s="975">
        <f t="shared" si="8"/>
        <v>15692</v>
      </c>
      <c r="AF19" s="976">
        <f t="shared" si="8"/>
        <v>0</v>
      </c>
      <c r="AG19" s="977">
        <f t="shared" si="8"/>
        <v>0</v>
      </c>
      <c r="AH19" s="978">
        <f t="shared" si="8"/>
        <v>0</v>
      </c>
      <c r="AI19" s="976">
        <f t="shared" si="8"/>
        <v>0</v>
      </c>
      <c r="AJ19" s="966">
        <f t="shared" si="8"/>
        <v>1448</v>
      </c>
      <c r="AK19" s="966">
        <f t="shared" si="8"/>
        <v>3305</v>
      </c>
      <c r="AL19" s="966">
        <f t="shared" si="8"/>
        <v>0</v>
      </c>
      <c r="AM19" s="979">
        <f t="shared" si="8"/>
        <v>0</v>
      </c>
      <c r="AN19" s="969">
        <f>IF(ISNUMBER(Datos!K19/Datos!J19),Datos!K19/Datos!J19," - ")</f>
        <v>0.89303013993541447</v>
      </c>
      <c r="AO19" s="969">
        <f>IF(ISNUMBER(FIND("06",Criterios!A8,1)),(IF(ISNUMBER(((Datos!R19/Datos!Q19)*11)/factor_trimestre),((Datos!R19/Datos!Q19)*11)/factor_trimestre," - ")),(IF(ISNUMBER(((Datos!L19/Datos!K19)*11)/factor_trimestre),((Datos!L19/Datos!K19)*11)/factor_trimestre," - ")))</f>
        <v>4.8045803827030289</v>
      </c>
      <c r="AP19" s="980" t="str">
        <f>IF(ISNUMBER(Datos!CI19/Datos!CJ19),Datos!CI19/Datos!CJ19," - ")</f>
        <v xml:space="preserve"> - </v>
      </c>
      <c r="AQ19" s="980">
        <f>IF(OR(ISNUMBER(FIND("01",Criterios!A8,1)),ISNUMBER(FIND("02",Criterios!A8,1)),ISNUMBER(FIND("03",Criterios!A8,1)),ISNUMBER(FIND("04",Criterios!A8,1))),(J19-Y19+K19)/(F19-K19),(I19-Y19+K19)/(F19-K19))</f>
        <v>-1.2704331450094162</v>
      </c>
      <c r="AR19" s="980">
        <f>IF(ISNUMBER((Datos!P19-Datos!Q19+O19)/(Datos!R19-Datos!P19+Datos!Q19-O19)),(Datos!P19-Datos!Q19+O19)/(Datos!R19-Datos!P19+Datos!Q19-O19)," - ")</f>
        <v>1.1277953212605529E-2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1136.4000000000001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1382.7538947091537</v>
      </c>
      <c r="G21" s="600">
        <f>IF(ISNUMBER(STDEV(G8:G18)),STDEV(G8:G18),"-")</f>
        <v>1344.8577248170157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351.08912177475884</v>
      </c>
      <c r="AK21" s="256"/>
      <c r="AL21" s="256">
        <f>IF(ISNUMBER(STDEV(AL8:AL18)),STDEV(AL8:AL18),"-")</f>
        <v>0</v>
      </c>
      <c r="AM21" s="258">
        <f>IF(ISNUMBER(STDEV(AM8:AM18)),STDEV(AM8:AM18),"-")</f>
        <v>0</v>
      </c>
      <c r="AN21" s="586">
        <f>IF(ISNUMBER(STDEV(AN8:AN18)),STDEV(AN8:AN18),"-")</f>
        <v>0</v>
      </c>
      <c r="AO21" s="587">
        <f>IF(ISNUMBER(STDEV(AO8:AO18)),STDEV(AO8:AO18),"-")</f>
        <v>2.8363547857766913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hgNknSqIet2gvsdEwQF7FGFn25wyT6vO3wEOfulFIcy71A5t9c+n9UTMxOKQh2akpy3lnSIPQfGDUQdXAclQw==" saltValue="5pWcgFG/rXaKCe4OgFi/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54yGJdroCbKowJ4vtVe/ngyZiM6y0Bv32bH2pkAJuiabwbZbJmNNcL4NFhFvJiPVfzzQ67C/ab0Iqmm6hPYKA==" saltValue="QylvgmYkpwIQx0eYzU1J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fTt8Bgv8wrjzGl4h0G8VQh8ykV7JoCrBY/2qx/E9gETC17qZTU66Y1QYTIC4gNS0an+3LHM1CfbXL0pohJKhg==" saltValue="lCcyJX5z4RPd/IKU9izy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ELCHE-ELX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0.2669956140350877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0.18879440923127666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YfTU6G/hU7iVtMicmG4dxygKYo58f8TVmDSmRDiRBn8cBBL5zyGSQNCBw+VkIlQqMIN5ZpGbEs9uXrqV7t5rA==" saltValue="Pp8hQ/SjRMovyz1el/k9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jV+5fsg4cuYcQ+BwnrA87LHdM5We3gzWkiUF+ZbL+WcAWq8OBAOHxs+SvnTGjpRfr91YCFwL8TlvW66EBLoQw==" saltValue="/T8nIMSpPS2JzkB5BQM6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ELCHE-ELX</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11576</v>
      </c>
      <c r="D9" s="415">
        <f>IF(ISNUMBER(C9/Datos!BH9),C9/Datos!BH9," - ")</f>
        <v>1929.3333333333333</v>
      </c>
      <c r="E9" s="414">
        <f>IF(ISNUMBER(IF(J_V="SI",Datos!J9,Datos!J9+Datos!Z9)),IF(J_V="SI",Datos!J9,Datos!J9+Datos!Z9)," - ")</f>
        <v>3578</v>
      </c>
      <c r="F9" s="415">
        <f>IF(ISNUMBER(E9/B9),E9/B9," - ")</f>
        <v>596.33333333333337</v>
      </c>
      <c r="G9" s="414">
        <f>IF(ISNUMBER(IF(J_V="SI",Datos!K9,Datos!K9+Datos!AA9)),IF(J_V="SI",Datos!K9,Datos!K9+Datos!AA9)," - ")</f>
        <v>2964</v>
      </c>
      <c r="H9" s="415">
        <f>IF(ISNUMBER(G9/B9),G9/B9," - ")</f>
        <v>494</v>
      </c>
      <c r="I9" s="414">
        <f>IF(ISNUMBER(IF(J_V="SI",Datos!L9,Datos!L9+Datos!AB9)),IF(J_V="SI",Datos!L9,Datos!L9+Datos!AB9)," - ")</f>
        <v>12205</v>
      </c>
      <c r="J9" s="415">
        <f>IF(ISNUMBER(I9/B9),I9/B9," - ")</f>
        <v>2034.1666666666667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130</v>
      </c>
      <c r="D10" s="415">
        <f>IF(ISNUMBER(C10/Datos!BH10),C10/Datos!BH10," - ")</f>
        <v>130</v>
      </c>
      <c r="E10" s="414">
        <f>IF(ISNUMBER(Datos!J10),Datos!J10," - ")</f>
        <v>78</v>
      </c>
      <c r="F10" s="415">
        <f>IF(ISNUMBER(E10/B10),E10/B10," - ")</f>
        <v>39</v>
      </c>
      <c r="G10" s="414">
        <f>IF(ISNUMBER(Datos!K10),Datos!K10," - ")</f>
        <v>73</v>
      </c>
      <c r="H10" s="415">
        <f>IF(ISNUMBER(G10/B10),G10/B10," - ")</f>
        <v>36.5</v>
      </c>
      <c r="I10" s="414">
        <f>IF(ISNUMBER(Datos!L10),Datos!L10," - ")</f>
        <v>135</v>
      </c>
      <c r="J10" s="415">
        <f>IF(ISNUMBER(I10/B10),I10/B10," - ")</f>
        <v>67.5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1080</v>
      </c>
      <c r="D11" s="415">
        <f>IF(ISNUMBER(C11/Datos!BH11),C11/Datos!BH11," - ")</f>
        <v>540</v>
      </c>
      <c r="E11" s="414">
        <f>IF(ISNUMBER(IF(J_V="SI",Datos!J11,Datos!J11+Datos!Z11)),IF(J_V="SI",Datos!J11,Datos!J11+Datos!Z11)," - ")</f>
        <v>541</v>
      </c>
      <c r="F11" s="415">
        <f>IF(ISNUMBER(E11/B11),E11/B11," - ")</f>
        <v>270.5</v>
      </c>
      <c r="G11" s="414">
        <f>IF(ISNUMBER(IF(J_V="SI",Datos!K11,Datos!K11+Datos!AA11)),IF(J_V="SI",Datos!K11,Datos!K11+Datos!AA11)," - ")</f>
        <v>611</v>
      </c>
      <c r="H11" s="415">
        <f>IF(ISNUMBER(G11/B11),G11/B11," - ")</f>
        <v>305.5</v>
      </c>
      <c r="I11" s="414">
        <f>IF(ISNUMBER(IF(J_V="SI",Datos!L11,Datos!L11+Datos!AB11)),IF(J_V="SI",Datos!L11,Datos!L11+Datos!AB11)," - ")</f>
        <v>934</v>
      </c>
      <c r="J11" s="415">
        <f>IF(ISNUMBER(I11/B11),I11/B11," - ")</f>
        <v>467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12786</v>
      </c>
      <c r="D13" s="996" t="str">
        <f>IF(ISNUMBER(C13/Datos!BI13),C13/Datos!BI13," - ")</f>
        <v xml:space="preserve"> - </v>
      </c>
      <c r="E13" s="995">
        <f>SUBTOTAL(9,E8:E12)</f>
        <v>4197</v>
      </c>
      <c r="F13" s="996">
        <f>IF(ISNUMBER(E13/B13),E13/B13," - ")</f>
        <v>419.7</v>
      </c>
      <c r="G13" s="995">
        <f>SUBTOTAL(9,G8:G12)</f>
        <v>3648</v>
      </c>
      <c r="H13" s="996">
        <f>IF(ISNUMBER(G13/B13),G13/B13," - ")</f>
        <v>364.8</v>
      </c>
      <c r="I13" s="995">
        <f>SUBTOTAL(9,I8:I12)</f>
        <v>13274</v>
      </c>
      <c r="J13" s="996">
        <f>IF(ISNUMBER(I13/B13),I13/B13," - ")</f>
        <v>1327.4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2503</v>
      </c>
      <c r="D15" s="415">
        <f>IF(ISNUMBER(C15/Datos!BH15),C15/Datos!BH15," - ")</f>
        <v>500.6</v>
      </c>
      <c r="E15" s="414">
        <f>IF(ISNUMBER(IF(D_I="SI",Datos!J15,Datos!J15+Datos!AD15)),IF(D_I="SI",Datos!J15,Datos!J15+Datos!AD15)," - ")</f>
        <v>2991</v>
      </c>
      <c r="F15" s="415">
        <f>IF(ISNUMBER(E15/B15),E15/B15," - ")</f>
        <v>598.20000000000005</v>
      </c>
      <c r="G15" s="414">
        <f>IF(ISNUMBER(IF(D_I="SI",Datos!K15,Datos!K15+Datos!AE15)),IF(D_I="SI",Datos!K15,Datos!K15+Datos!AE15)," - ")</f>
        <v>2772</v>
      </c>
      <c r="H15" s="415">
        <f>IF(ISNUMBER(G15/B15),G15/B15," - ")</f>
        <v>554.4</v>
      </c>
      <c r="I15" s="414">
        <f>IF(ISNUMBER(IF(D_I="SI",Datos!L15,Datos!L15+Datos!AF15)),IF(D_I="SI",Datos!L15,Datos!L15+Datos!AF15)," - ")</f>
        <v>2744</v>
      </c>
      <c r="J15" s="415">
        <f>IF(ISNUMBER(I15/B15),I15/B15," - ")</f>
        <v>548.79999999999995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208</v>
      </c>
      <c r="D17" s="415">
        <f>IF(ISNUMBER(C17/Datos!BH17),C17/Datos!BH17," - ")</f>
        <v>208</v>
      </c>
      <c r="E17" s="414">
        <f>IF(ISNUMBER(IF(D_I="SI",Datos!J17,Datos!J17+Datos!AD17)),IF(D_I="SI",Datos!J17,Datos!J17+Datos!AD17)," - ")</f>
        <v>540</v>
      </c>
      <c r="F17" s="415">
        <f>IF(ISNUMBER(E17/B17),E17/B17," - ")</f>
        <v>270</v>
      </c>
      <c r="G17" s="414">
        <f>IF(ISNUMBER(IF(D_I="SI",Datos!K17,Datos!K17+Datos!AE17)),IF(D_I="SI",Datos!K17,Datos!K17+Datos!AE17)," - ")</f>
        <v>528</v>
      </c>
      <c r="H17" s="415">
        <f>IF(ISNUMBER(G17/B17),G17/B17," - ")</f>
        <v>264</v>
      </c>
      <c r="I17" s="414">
        <f>IF(ISNUMBER(IF(D_I="SI",Datos!L17,Datos!L17+Datos!AF17)),IF(D_I="SI",Datos!L17,Datos!L17+Datos!AF17)," - ")</f>
        <v>227</v>
      </c>
      <c r="J17" s="415">
        <f>IF(ISNUMBER(I17/B17),I17/B17," - ")</f>
        <v>113.5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2711</v>
      </c>
      <c r="D18" s="996" t="str">
        <f>IF(ISNUMBER(C18/Datos!BI18),C18/Datos!BI18," - ")</f>
        <v xml:space="preserve"> - </v>
      </c>
      <c r="E18" s="995">
        <f>SUBTOTAL(9,E14:E17)</f>
        <v>3531</v>
      </c>
      <c r="F18" s="996">
        <f>IF(ISNUMBER(E18/B18),E18/B18," - ")</f>
        <v>504.42857142857144</v>
      </c>
      <c r="G18" s="995">
        <f>SUBTOTAL(9,G14:G17)</f>
        <v>3300</v>
      </c>
      <c r="H18" s="996">
        <f>IF(ISNUMBER(G18/B18),G18/B18," - ")</f>
        <v>471.42857142857144</v>
      </c>
      <c r="I18" s="995">
        <f>SUBTOTAL(9,I14:I17)</f>
        <v>2971</v>
      </c>
      <c r="J18" s="996">
        <f>IF(ISNUMBER(I18/B18),I18/B18," - ")</f>
        <v>424.42857142857144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15497</v>
      </c>
      <c r="D19" s="941" t="str">
        <f>IF(ISNUMBER(C19/Datos!BI19),C19/Datos!BI19," - ")</f>
        <v xml:space="preserve"> - </v>
      </c>
      <c r="E19" s="940">
        <f>SUBTOTAL(9,E9:E18)</f>
        <v>7728</v>
      </c>
      <c r="F19" s="941">
        <f>IF(ISNUMBER(E19/B19),E19/B19," - ")</f>
        <v>515.20000000000005</v>
      </c>
      <c r="G19" s="940">
        <f>SUBTOTAL(9,G9:G18)</f>
        <v>6948</v>
      </c>
      <c r="H19" s="941">
        <f>IF(ISNUMBER(G19/B19),G19/B19," - ")</f>
        <v>463.2</v>
      </c>
      <c r="I19" s="940">
        <f>SUBTOTAL(9,I9:I18)</f>
        <v>16245</v>
      </c>
      <c r="J19" s="941">
        <f>IF(ISNUMBER(I19/B19),I19/B19," - ")</f>
        <v>1083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hMZUAUIcPZvqubcKfpiZLh4rxRcY0ucI4pg3EyCqTXTqtoyvtJKTL7zfHvaEN7AT58O9Acop6jqxkEEHEp3nw==" saltValue="Z0AicF5XYLz/8DqUkz3s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ELCHE-ELX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130</v>
      </c>
      <c r="G10" s="802">
        <f>IF(ISNUMBER(Datos!I10),Datos!I10," - ")</f>
        <v>130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73</v>
      </c>
      <c r="AC10" s="801" t="str">
        <f>IF(ISNUMBER(IF(D_I="SI",DatosP!K17,DatosP!K17+DatosP!AE17)),IF(D_I="SI",DatosP!K17,DatosP!K17+DatosP!AE17)," - ")</f>
        <v xml:space="preserve"> - </v>
      </c>
      <c r="AD10" s="803"/>
      <c r="AE10" s="803"/>
      <c r="AF10" s="806">
        <f>IF(ISNUMBER(Datos!L10),Datos!L10,"-")</f>
        <v>135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39</v>
      </c>
      <c r="AN10" s="810">
        <f>IF(ISNUMBER(Datos!BW10+DatosP!BW17),Datos!BW10+DatosP!BW17," - ")</f>
        <v>0</v>
      </c>
      <c r="AO10" s="811">
        <f>IF(ISNUMBER(Datos!BX10+DatosP!BX17),Datos!BX10+DatosP!BX17," - ")</f>
        <v>0</v>
      </c>
      <c r="AP10" s="813">
        <f>IF(ISNUMBER(((Datos!L10/Datos!K10)*11)/factor_trimestre),((Datos!L10/Datos!K10)*11)/factor_trimestre," - ")</f>
        <v>3.6986301369863015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130</v>
      </c>
      <c r="G13" s="1084">
        <f t="shared" si="0"/>
        <v>130</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73</v>
      </c>
      <c r="AC13" s="1085">
        <f t="shared" si="1"/>
        <v>0</v>
      </c>
      <c r="AD13" s="1085">
        <f t="shared" si="1"/>
        <v>0</v>
      </c>
      <c r="AE13" s="1085">
        <f t="shared" si="1"/>
        <v>0</v>
      </c>
      <c r="AF13" s="1085">
        <f t="shared" si="1"/>
        <v>135</v>
      </c>
      <c r="AG13" s="1085">
        <f t="shared" si="1"/>
        <v>0</v>
      </c>
      <c r="AH13" s="1085">
        <f t="shared" si="1"/>
        <v>0</v>
      </c>
      <c r="AI13" s="1085">
        <f t="shared" si="1"/>
        <v>0</v>
      </c>
      <c r="AJ13" s="1085">
        <f t="shared" si="1"/>
        <v>0</v>
      </c>
      <c r="AK13" s="1085">
        <f t="shared" si="1"/>
        <v>0</v>
      </c>
      <c r="AL13" s="1085">
        <f t="shared" si="1"/>
        <v>15</v>
      </c>
      <c r="AM13" s="1085">
        <f t="shared" si="1"/>
        <v>39</v>
      </c>
      <c r="AN13" s="1085">
        <f t="shared" si="1"/>
        <v>0</v>
      </c>
      <c r="AO13" s="1085">
        <f t="shared" si="1"/>
        <v>0</v>
      </c>
      <c r="AP13" s="1090">
        <f>IF(ISNUMBER(((Datos!L13/Datos!K13)*11)/factor_trimestre),((Datos!L13/Datos!K13)*11)/factor_trimestre," - ")</f>
        <v>7.7752472280491451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-0.56153846153846154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1.8006060606060605</v>
      </c>
      <c r="AQ18" s="1090">
        <f>IF(ISNUMBER(((Datos!M18/Datos!L18)*11)/factor_trimestre),((Datos!M18/Datos!L18)*11)/factor_trimestre," - ")</f>
        <v>0.31908448333894313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-6.3116370808678504E-2</v>
      </c>
      <c r="AW18" s="1092">
        <f>IF(ISNUMBER((Datos!Q18-Datos!R18)/(Datos!S18-Datos!Q18+Datos!R18)),(Datos!Q18-Datos!R18)/(Datos!S18-Datos!Q18+Datos!R18)," - ")</f>
        <v>-0.15142095914742451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130</v>
      </c>
      <c r="G19" s="1097">
        <f t="shared" si="4"/>
        <v>130</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73</v>
      </c>
      <c r="AC19" s="1103">
        <f t="shared" si="5"/>
        <v>0</v>
      </c>
      <c r="AD19" s="1103">
        <f t="shared" si="5"/>
        <v>0</v>
      </c>
      <c r="AE19" s="1103">
        <f t="shared" si="5"/>
        <v>0</v>
      </c>
      <c r="AF19" s="1104">
        <f t="shared" si="5"/>
        <v>135</v>
      </c>
      <c r="AG19" s="1104">
        <f t="shared" si="5"/>
        <v>0</v>
      </c>
      <c r="AH19" s="1104">
        <f t="shared" si="5"/>
        <v>0</v>
      </c>
      <c r="AI19" s="1104">
        <f t="shared" si="5"/>
        <v>0</v>
      </c>
      <c r="AJ19" s="1105">
        <f t="shared" si="5"/>
        <v>0</v>
      </c>
      <c r="AK19" s="1105">
        <f t="shared" si="5"/>
        <v>0</v>
      </c>
      <c r="AL19" s="1097">
        <f t="shared" si="5"/>
        <v>15</v>
      </c>
      <c r="AM19" s="1097">
        <f t="shared" si="5"/>
        <v>39</v>
      </c>
      <c r="AN19" s="1097">
        <f t="shared" si="5"/>
        <v>0</v>
      </c>
      <c r="AO19" s="1097">
        <f t="shared" si="5"/>
        <v>0</v>
      </c>
      <c r="AP19" s="1097">
        <f>IF(ISNUMBER(((Datos!L19/Datos!K19)*11)/factor_trimestre),((Datos!L19/Datos!K19)*11)/factor_trimestre," - ")</f>
        <v>4.8045803827030289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-0.56153846153846154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1.1277953212605529E-2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3.9327683210007001</v>
      </c>
      <c r="F21" s="869">
        <f>IF(ISNUMBER(STDEV(F8:F18)),STDEV(F8:F18),"-")</f>
        <v>75.055534994651353</v>
      </c>
      <c r="G21" s="870">
        <f>IF(ISNUMBER(STDEV(G8:G18)),STDEV(G8:G18),"-")</f>
        <v>75.055534994651353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42.146569650842686</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3.0528030666195503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Vk1YDMu0GEM0p4//wyuqk869uLYEA0cExYEVex0YNWZPGiMN0hMw2ljx5apl7A7R0rvQPTLBfaR4c99J+YPbA==" saltValue="uKt9xbP1TbQxzEOiLwFg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ELCHE-ELX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2</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2</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dqn/0YVgaAYSfglv4zYlKCKwY82oc/gRhfKLdeaw68pTgnCyf21Ll+pmLhCr6qYMG9ULAP2o2x5CyyLPRhzIg==" saltValue="Lv83SNGOmEpTRdK/hEq0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ELCHE-ELX</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750</v>
      </c>
      <c r="E9" s="415">
        <f t="shared" ref="E9:E13" si="0">IF(ISNUMBER(D9/B9),D9/B9," - ")</f>
        <v>125</v>
      </c>
      <c r="F9" s="414">
        <f>IF(ISNUMBER(Datos!N9),Datos!N9," - ")</f>
        <v>1221</v>
      </c>
      <c r="G9" s="415">
        <f t="shared" ref="G9:G13" si="1">IF(ISNUMBER(F9/B9),F9/B9," - ")</f>
        <v>203.5</v>
      </c>
      <c r="H9" s="414">
        <f>IF(ISNUMBER(Datos!O9),Datos!O9," - ")</f>
        <v>1225</v>
      </c>
      <c r="I9" s="415">
        <f>IF(ISNUMBER(H9/B9),H9/B9," - ")</f>
        <v>204.16666666666666</v>
      </c>
    </row>
    <row r="10" spans="1:9">
      <c r="A10" s="413" t="str">
        <f>Datos!A10</f>
        <v>Jdos. Violencia contra la mujer</v>
      </c>
      <c r="B10" s="443">
        <f>Datos!AO10</f>
        <v>2</v>
      </c>
      <c r="C10" s="421">
        <f>Datos!AQ10</f>
        <v>2</v>
      </c>
      <c r="D10" s="414">
        <f>IF(ISNUMBER(Datos!M10),Datos!M10," - ")</f>
        <v>15</v>
      </c>
      <c r="E10" s="415">
        <f>IF(ISNUMBER(D10/B10),D10/B10," - ")</f>
        <v>7.5</v>
      </c>
      <c r="F10" s="414">
        <f>IF(ISNUMBER(Datos!N10),Datos!N10," - ")</f>
        <v>39</v>
      </c>
      <c r="G10" s="415">
        <f>IF(ISNUMBER(F10/B10),F10/B10," - ")</f>
        <v>19.5</v>
      </c>
      <c r="H10" s="414">
        <f>IF(ISNUMBER(Datos!O10),Datos!O10," - ")</f>
        <v>24</v>
      </c>
      <c r="I10" s="415">
        <f t="shared" ref="I10:I12" si="2">IF(ISNUMBER(H10/B10),H10/B10," - ")</f>
        <v>12</v>
      </c>
    </row>
    <row r="11" spans="1:9">
      <c r="A11" s="413" t="str">
        <f>Datos!A11</f>
        <v xml:space="preserve">Jdos. Familia                                   </v>
      </c>
      <c r="B11" s="443">
        <f>Datos!AO11</f>
        <v>2</v>
      </c>
      <c r="C11" s="421">
        <f>Datos!AQ11</f>
        <v>2</v>
      </c>
      <c r="D11" s="414">
        <f>IF(ISNUMBER(Datos!M11),Datos!M11," - ")</f>
        <v>209</v>
      </c>
      <c r="E11" s="415">
        <f t="shared" si="0"/>
        <v>104.5</v>
      </c>
      <c r="F11" s="414">
        <f>IF(ISNUMBER(Datos!N11),Datos!N11," - ")</f>
        <v>279</v>
      </c>
      <c r="G11" s="415">
        <f t="shared" si="1"/>
        <v>139.5</v>
      </c>
      <c r="H11" s="414">
        <f>IF(ISNUMBER(Datos!O11),Datos!O11," - ")</f>
        <v>201</v>
      </c>
      <c r="I11" s="415">
        <f t="shared" si="2"/>
        <v>100.5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974</v>
      </c>
      <c r="E13" s="996">
        <f t="shared" si="0"/>
        <v>97.4</v>
      </c>
      <c r="F13" s="995">
        <f>SUBTOTAL(9,F9:F12)</f>
        <v>1539</v>
      </c>
      <c r="G13" s="996">
        <f t="shared" si="1"/>
        <v>153.9</v>
      </c>
      <c r="H13" s="995">
        <f>SUBTOTAL(9,H9:H12)</f>
        <v>1450</v>
      </c>
      <c r="I13" s="996">
        <f>IF(ISNUMBER(H13/B13),H13/B13," - ")</f>
        <v>145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388</v>
      </c>
      <c r="E15" s="415">
        <f t="shared" ref="E15:E18" si="3">IF(ISNUMBER(D15/B15),D15/B15," - ")</f>
        <v>77.599999999999994</v>
      </c>
      <c r="F15" s="414">
        <f>IF(ISNUMBER(Datos!N15),Datos!N15," - ")</f>
        <v>1415</v>
      </c>
      <c r="G15" s="415">
        <f t="shared" ref="G15:G18" si="4">IF(ISNUMBER(F15/B15),F15/B15," - ")</f>
        <v>283</v>
      </c>
      <c r="H15" s="414">
        <f>IF(ISNUMBER(Datos!O15),Datos!O15," - ")</f>
        <v>107</v>
      </c>
      <c r="I15" s="415">
        <f t="shared" ref="I15:I17" si="5">IF(ISNUMBER(H15/B15),H15/B15," - ")</f>
        <v>21.4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86</v>
      </c>
      <c r="E17" s="415">
        <f>IF(ISNUMBER(D17/B17),D17/B17," - ")</f>
        <v>43</v>
      </c>
      <c r="F17" s="414">
        <f>IF(ISNUMBER(Datos!N17),Datos!N17," - ")</f>
        <v>351</v>
      </c>
      <c r="G17" s="415">
        <f>IF(ISNUMBER(F17/B17),F17/B17," - ")</f>
        <v>175.5</v>
      </c>
      <c r="H17" s="414">
        <f>IF(ISNUMBER(Datos!O17),Datos!O17," - ")</f>
        <v>4</v>
      </c>
      <c r="I17" s="415">
        <f t="shared" si="5"/>
        <v>2</v>
      </c>
    </row>
    <row r="18" spans="1:9" ht="14.25" thickTop="1" thickBot="1">
      <c r="A18" s="994" t="str">
        <f>Datos!A18</f>
        <v>TOTAL</v>
      </c>
      <c r="B18" s="995">
        <f>Datos!AO18</f>
        <v>7</v>
      </c>
      <c r="C18" s="997">
        <f>Datos!AR18</f>
        <v>7</v>
      </c>
      <c r="D18" s="995">
        <f>SUBTOTAL(9,D15:D17)</f>
        <v>474</v>
      </c>
      <c r="E18" s="996">
        <f t="shared" si="3"/>
        <v>67.714285714285708</v>
      </c>
      <c r="F18" s="995">
        <f>SUBTOTAL(9,F15:F17)</f>
        <v>1766</v>
      </c>
      <c r="G18" s="996">
        <f t="shared" si="4"/>
        <v>252.28571428571428</v>
      </c>
      <c r="H18" s="995">
        <f>SUBTOTAL(9,H15:H17)</f>
        <v>111</v>
      </c>
      <c r="I18" s="996">
        <f>IF(ISNUMBER(H18/B18),H18/B18," - ")</f>
        <v>15.857142857142858</v>
      </c>
    </row>
    <row r="19" spans="1:9" ht="14.25" thickTop="1" thickBot="1">
      <c r="A19" s="939" t="str">
        <f>Datos!A19</f>
        <v>TOTAL JURISDICCIONES</v>
      </c>
      <c r="B19" s="940">
        <f>Datos!AP19</f>
        <v>15</v>
      </c>
      <c r="C19" s="940">
        <f>Datos!AR19</f>
        <v>15</v>
      </c>
      <c r="D19" s="940">
        <f>SUBTOTAL(9,D8:D18)</f>
        <v>1448</v>
      </c>
      <c r="E19" s="941">
        <f>IF(ISNUMBER(D19/B19),D19/B19," - ")</f>
        <v>96.533333333333331</v>
      </c>
      <c r="F19" s="940">
        <f>SUBTOTAL(9,F8:F18)</f>
        <v>3305</v>
      </c>
      <c r="G19" s="941">
        <f>IF(ISNUMBER(F19/B19),F19/B19," - ")</f>
        <v>220.33333333333334</v>
      </c>
      <c r="H19" s="940">
        <f>SUBTOTAL(9,H8:H18)</f>
        <v>1561</v>
      </c>
      <c r="I19" s="941">
        <f>IF(ISNUMBER(H19/B19),H19/B19," - ")</f>
        <v>104.06666666666666</v>
      </c>
    </row>
    <row r="22" spans="1:9">
      <c r="A22" s="402" t="str">
        <f>Criterios!A4</f>
        <v>Fecha Informe: 29 nov. 2023</v>
      </c>
    </row>
    <row r="27" spans="1:9">
      <c r="A27" s="425"/>
    </row>
  </sheetData>
  <sheetProtection algorithmName="SHA-512" hashValue="fhMRlt0+Eef6MWV8zv1q8mLRdQrZ1Y7fyLUPVpceSjk41mhdF1Lu8zpPZyOsfzFo08uvgcw3mZh8NtwTMaYuCQ==" saltValue="OojvqlKWhuGeA2LKgB/d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ELCHE-ELX</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626</v>
      </c>
      <c r="C9" s="450">
        <f>IF(ISNUMBER(Datos!Q9),Datos!Q9," - ")</f>
        <v>394</v>
      </c>
      <c r="D9" s="419">
        <f>IF(ISNUMBER(Datos!R9),Datos!R9," - ")</f>
        <v>13183</v>
      </c>
    </row>
    <row r="10" spans="1:4">
      <c r="A10" s="413" t="str">
        <f>Datos!A10</f>
        <v>Jdos. Violencia contra la mujer</v>
      </c>
      <c r="B10" s="449">
        <f>IF(ISNUMBER(Datos!P10),Datos!P10," - ")</f>
        <v>15</v>
      </c>
      <c r="C10" s="450">
        <f>IF(ISNUMBER(Datos!Q10),Datos!Q10," - ")</f>
        <v>15</v>
      </c>
      <c r="D10" s="419">
        <f>IF(ISNUMBER(Datos!R10),Datos!R10," - ")</f>
        <v>196</v>
      </c>
    </row>
    <row r="11" spans="1:4">
      <c r="A11" s="413" t="str">
        <f>Datos!A11</f>
        <v xml:space="preserve">Jdos. Familia                                   </v>
      </c>
      <c r="B11" s="449">
        <f>IF(ISNUMBER(Datos!P11),Datos!P11," - ")</f>
        <v>78</v>
      </c>
      <c r="C11" s="450">
        <f>IF(ISNUMBER(Datos!Q11),Datos!Q11," - ")</f>
        <v>103</v>
      </c>
      <c r="D11" s="419">
        <f>IF(ISNUMBER(Datos!R11),Datos!R11," - ")</f>
        <v>1838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719</v>
      </c>
      <c r="C13" s="999">
        <f>SUBTOTAL(9,C9:C12)</f>
        <v>512</v>
      </c>
      <c r="D13" s="997">
        <f>SUBTOTAL(9,D9:D12)</f>
        <v>15217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100</v>
      </c>
      <c r="C15" s="450">
        <f>IF(ISNUMBER(Datos!Q15),Datos!Q15," - ")</f>
        <v>121</v>
      </c>
      <c r="D15" s="419">
        <f>IF(ISNUMBER(Datos!R15),Datos!R15," - ")</f>
        <v>464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13</v>
      </c>
      <c r="D17" s="419">
        <f>IF(ISNUMBER(Datos!R17),Datos!R17," - ")</f>
        <v>11</v>
      </c>
    </row>
    <row r="18" spans="1:4" ht="14.25" thickTop="1" thickBot="1">
      <c r="A18" s="994" t="str">
        <f>Datos!A18</f>
        <v>TOTAL</v>
      </c>
      <c r="B18" s="995">
        <f>SUBTOTAL(9,B15:B17)</f>
        <v>102</v>
      </c>
      <c r="C18" s="999">
        <f>SUBTOTAL(9,C15:C17)</f>
        <v>134</v>
      </c>
      <c r="D18" s="997">
        <f>SUBTOTAL(9,D15:D17)</f>
        <v>475</v>
      </c>
    </row>
    <row r="19" spans="1:4" ht="16.5" customHeight="1" thickTop="1" thickBot="1">
      <c r="A19" s="939" t="str">
        <f>Datos!A19</f>
        <v>TOTAL JURISDICCIONES</v>
      </c>
      <c r="B19" s="944">
        <f>SUBTOTAL(9,B8:B18)</f>
        <v>821</v>
      </c>
      <c r="C19" s="945">
        <f>SUBTOTAL(9,C8:C18)</f>
        <v>646</v>
      </c>
      <c r="D19" s="946">
        <f>SUBTOTAL(9,D8:D18)</f>
        <v>15692</v>
      </c>
    </row>
    <row r="20" spans="1:4" ht="7.5" customHeight="1"/>
    <row r="21" spans="1:4" ht="6" customHeight="1"/>
    <row r="22" spans="1:4">
      <c r="A22" s="402" t="str">
        <f>Criterios!A4</f>
        <v>Fecha Informe: 29 nov. 2023</v>
      </c>
    </row>
    <row r="27" spans="1:4">
      <c r="A27" s="425"/>
    </row>
  </sheetData>
  <sheetProtection algorithmName="SHA-512" hashValue="yueOgusZkX2K77/RYexWqeMZJazEmWYodb8Kmg5aYteRMEgUJLiSuwSXNq+Y3T4PGKwIG69Jva+5lkPv/vp9QQ==" saltValue="zPYCrBh9BN6cJ0DsQZT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ELCHE-ELX</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0.32251799383068663</v>
      </c>
      <c r="C9" s="472">
        <f>IF(ISNUMBER(
   IF(J_V="SI",(Datos!J9-Datos!T9)/Datos!T9,(Datos!J9+Datos!Z9-(Datos!T9+Datos!AH9))/(Datos!T9+Datos!AH9))
     ),IF(J_V="SI",(Datos!J9-Datos!T9)/Datos!T9,(Datos!J9+Datos!Z9-(Datos!T9+Datos!AH9))/(Datos!T9+Datos!AH9))," - ")</f>
        <v>0.11812499999999999</v>
      </c>
      <c r="D9" s="472">
        <f>IF(ISNUMBER(
   IF(J_V="SI",(Datos!K9-Datos!U9)/Datos!U9,(Datos!K9+Datos!AA9-(Datos!U9+Datos!AI9))/(Datos!U9+Datos!AI9))
     ),IF(J_V="SI",(Datos!K9-Datos!U9)/Datos!U9,(Datos!K9+Datos!AA9-(Datos!U9+Datos!AI9))/(Datos!U9+Datos!AI9))," - ")</f>
        <v>-3.2321253672869733E-2</v>
      </c>
      <c r="E9" s="472">
        <f>IF(ISNUMBER(
   IF(J_V="SI",(Datos!L9-Datos!V9)/Datos!V9,(Datos!L9+Datos!AB9-(Datos!V9+Datos!AJ9))/(Datos!V9+Datos!AJ9))
     ),IF(J_V="SI",(Datos!L9-Datos!V9)/Datos!V9,(Datos!L9+Datos!AB9-(Datos!V9+Datos!AJ9))/(Datos!V9+Datos!AJ9))," - ")</f>
        <v>0.32203206239168108</v>
      </c>
      <c r="F9" s="472">
        <f>IF(ISNUMBER((Datos!M9-Datos!W9)/Datos!W9),(Datos!M9-Datos!W9)/Datos!W9," - ")</f>
        <v>0.2776831345826235</v>
      </c>
      <c r="G9" s="473">
        <f>IF(ISNUMBER((Datos!N9-Datos!X9)/Datos!X9),(Datos!N9-Datos!X9)/Datos!X9," - ")</f>
        <v>-2.7091633466135457E-2</v>
      </c>
      <c r="H9" s="471">
        <f>IF(ISNUMBER(((NºAsuntos!G9/NºAsuntos!E9)-Datos!BD9)/Datos!BD9),((NºAsuntos!G9/NºAsuntos!E9)-Datos!BD9)/Datos!BD9," - ")</f>
        <v>-0.13455226711939156</v>
      </c>
      <c r="I9" s="472">
        <f>IF(ISNUMBER(((NºAsuntos!I9/NºAsuntos!G9)-Datos!BE9)/Datos!BE9),((NºAsuntos!I9/NºAsuntos!G9)-Datos!BE9)/Datos!BE9," - ")</f>
        <v>0.36618900374686891</v>
      </c>
      <c r="J9" s="477">
        <f>IF(ISNUMBER((('Resol  Asuntos'!D9/NºAsuntos!G9)-Datos!BF9)/Datos!BF9),(('Resol  Asuntos'!D9/NºAsuntos!G9)-Datos!BF9)/Datos!BF9," - ")</f>
        <v>-0.38242979499008012</v>
      </c>
      <c r="K9" s="478">
        <f>IF(ISNUMBER((((NºAsuntos!C9+NºAsuntos!E9)/NºAsuntos!G9)-Datos!BG9)/Datos!BG9),(((NºAsuntos!C9+NºAsuntos!E9)/NºAsuntos!G9)-Datos!BG9)/Datos!BG9," - ")</f>
        <v>0.3101443880570019</v>
      </c>
    </row>
    <row r="10" spans="1:11">
      <c r="A10" s="413" t="str">
        <f>Datos!A10</f>
        <v>Jdos. Violencia contra la mujer</v>
      </c>
      <c r="B10" s="471">
        <f>IF(ISNUMBER((Datos!I10-Datos!S10)/Datos!S10),(Datos!I10-Datos!S10)/Datos!S10," - ")</f>
        <v>0.10169491525423729</v>
      </c>
      <c r="C10" s="472">
        <f>IF(ISNUMBER((Datos!J10-Datos!T10)/Datos!T10),(Datos!J10-Datos!T10)/Datos!T10," - ")</f>
        <v>1.3636363636363635</v>
      </c>
      <c r="D10" s="472">
        <f>IF(ISNUMBER((Datos!K10-Datos!U10)/Datos!U10),(Datos!K10-Datos!U10)/Datos!U10," - ")</f>
        <v>1.0277777777777777</v>
      </c>
      <c r="E10" s="472">
        <f>IF(ISNUMBER((Datos!L10-Datos!V10)/Datos!V10),(Datos!L10-Datos!V10)/Datos!V10," - ")</f>
        <v>0.17391304347826086</v>
      </c>
      <c r="F10" s="472">
        <f>IF(ISNUMBER((Datos!M10-Datos!W10)/Datos!W10),(Datos!M10-Datos!W10)/Datos!W10," - ")</f>
        <v>-0.25</v>
      </c>
      <c r="G10" s="473">
        <f>IF(ISNUMBER((Datos!N10-Datos!X10)/Datos!X10),(Datos!N10-Datos!X10)/Datos!X10," - ")</f>
        <v>1.7857142857142858</v>
      </c>
      <c r="H10" s="471">
        <f>IF(ISNUMBER(((NºAsuntos!G10/NºAsuntos!E10)-Datos!BD10)/Datos!BD10),((NºAsuntos!G10/NºAsuntos!E10)-Datos!BD10)/Datos!BD10," - ")</f>
        <v>-0.14209401709401703</v>
      </c>
      <c r="I10" s="472">
        <f>IF(ISNUMBER(((NºAsuntos!I10/NºAsuntos!G10)-Datos!BE10)/Datos!BE10),((NºAsuntos!I10/NºAsuntos!G10)-Datos!BE10)/Datos!BE10," - ")</f>
        <v>-0.42108397855866586</v>
      </c>
      <c r="J10" s="477">
        <f>IF(ISNUMBER((('Resol  Asuntos'!D10/NºAsuntos!G10)-Datos!BF10)/Datos!BF10),(('Resol  Asuntos'!D10/NºAsuntos!G10)-Datos!BF10)/Datos!BF10," - ")</f>
        <v>-0.63013698630136994</v>
      </c>
      <c r="K10" s="478">
        <f>IF(ISNUMBER((((NºAsuntos!C10+NºAsuntos!E10)/NºAsuntos!G10)-Datos!BG10)/Datos!BG10),(((NºAsuntos!C10+NºAsuntos!E10)/NºAsuntos!G10)-Datos!BG10)/Datos!BG10," - ")</f>
        <v>-0.32069309625328862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0.62650602409638556</v>
      </c>
      <c r="C11" s="472">
        <f>IF(ISNUMBER(
   IF(J_V="SI",(Datos!J11-Datos!T11)/Datos!T11,(Datos!J11+Datos!Z11-(Datos!T11+Datos!AH11))/(Datos!T11+Datos!AH11))
     ),IF(J_V="SI",(Datos!J11-Datos!T11)/Datos!T11,(Datos!J11+Datos!Z11-(Datos!T11+Datos!AH11))/(Datos!T11+Datos!AH11))," - ")</f>
        <v>-0.12600969305331181</v>
      </c>
      <c r="D11" s="472">
        <f>IF(ISNUMBER(
   IF(J_V="SI",(Datos!K11-Datos!U11)/Datos!U11,(Datos!K11+Datos!AA11-(Datos!U11+Datos!AI11))/(Datos!U11+Datos!AI11))
     ),IF(J_V="SI",(Datos!K11-Datos!U11)/Datos!U11,(Datos!K11+Datos!AA11-(Datos!U11+Datos!AI11))/(Datos!U11+Datos!AI11))," - ")</f>
        <v>0.11496350364963503</v>
      </c>
      <c r="E11" s="472">
        <f>IF(ISNUMBER(
   IF(J_V="SI",(Datos!L11-Datos!V11)/Datos!V11,(Datos!L11+Datos!AB11-(Datos!V11+Datos!AJ11))/(Datos!V11+Datos!AJ11))
     ),IF(J_V="SI",(Datos!L11-Datos!V11)/Datos!V11,(Datos!L11+Datos!AB11-(Datos!V11+Datos!AJ11))/(Datos!V11+Datos!AJ11))," - ")</f>
        <v>0.27074829931972788</v>
      </c>
      <c r="F11" s="472">
        <f>IF(ISNUMBER((Datos!M11-Datos!W11)/Datos!W11),(Datos!M11-Datos!W11)/Datos!W11," - ")</f>
        <v>0.25903614457831325</v>
      </c>
      <c r="G11" s="473">
        <f>IF(ISNUMBER((Datos!N11-Datos!X11)/Datos!X11),(Datos!N11-Datos!X11)/Datos!X11," - ")</f>
        <v>-6.6889632107023408E-2</v>
      </c>
      <c r="H11" s="471">
        <f>IF(ISNUMBER(((NºAsuntos!G11/NºAsuntos!E11)-Datos!BD11)/Datos!BD11),((NºAsuntos!G11/NºAsuntos!E11)-Datos!BD11)/Datos!BD11," - ")</f>
        <v>0.27571609752148635</v>
      </c>
      <c r="I11" s="472">
        <f>IF(ISNUMBER(((NºAsuntos!I11/NºAsuntos!G11)-Datos!BE11)/Datos!BE11),((NºAsuntos!I11/NºAsuntos!G11)-Datos!BE11)/Datos!BE11," - ")</f>
        <v>0.13972187893160537</v>
      </c>
      <c r="J11" s="477">
        <f>IF(ISNUMBER((('Resol  Asuntos'!D11/NºAsuntos!G11)-Datos!BF11)/Datos!BF11),(('Resol  Asuntos'!D11/NºAsuntos!G11)-Datos!BF11)/Datos!BF11," - ")</f>
        <v>-0.37307664938775736</v>
      </c>
      <c r="K11" s="478">
        <f>IF(ISNUMBER((((NºAsuntos!C11+NºAsuntos!E11)/NºAsuntos!G11)-Datos!BG11)/Datos!BG11),(((NºAsuntos!C11+NºAsuntos!E11)/NºAsuntos!G11)-Datos!BG11)/Datos!BG11," - ")</f>
        <v>0.13317166573331479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0.34095437860513894</v>
      </c>
      <c r="C13" s="1001">
        <f>IF(ISNUMBER(
   IF(J_V="SI",(Datos!J13-Datos!T13)/Datos!T13,(Datos!J13+Datos!Z13-(Datos!T13+Datos!AH13))/(Datos!T13+Datos!AH13))
     ),IF(J_V="SI",(Datos!J13-Datos!T13)/Datos!T13,(Datos!J13+Datos!Z13-(Datos!T13+Datos!AH13))/(Datos!T13+Datos!AH13))," - ")</f>
        <v>8.9563862928348906E-2</v>
      </c>
      <c r="D13" s="1001">
        <f>IF(ISNUMBER(
   IF(J_V="SI",(Datos!K13-Datos!U13)/Datos!U13,(Datos!K13+Datos!AA13-(Datos!U13+Datos!AI13))/(Datos!U13+Datos!AI13))
     ),IF(J_V="SI",(Datos!K13-Datos!U13)/Datos!U13,(Datos!K13+Datos!AA13-(Datos!U13+Datos!AI13))/(Datos!U13+Datos!AI13))," - ")</f>
        <v>2.7419797093501506E-4</v>
      </c>
      <c r="E13" s="1001">
        <f>IF(ISNUMBER(
   IF(J_V="SI",(Datos!L13-Datos!V13)/Datos!V13,(Datos!L13+Datos!AB13-(Datos!V13+Datos!AJ13))/(Datos!V13+Datos!AJ13))
     ),IF(J_V="SI",(Datos!L13-Datos!V13)/Datos!V13,(Datos!L13+Datos!AB13-(Datos!V13+Datos!AJ13))/(Datos!V13+Datos!AJ13))," - ")</f>
        <v>0.31660384844276929</v>
      </c>
      <c r="F13" s="1002">
        <f>IF(ISNUMBER((Datos!M13-Datos!W13)/Datos!W13),(Datos!M13-Datos!W13)/Datos!W13," - ")</f>
        <v>0.26002587322121606</v>
      </c>
      <c r="G13" s="1003">
        <f>IF(ISNUMBER((Datos!N13-Datos!X13)/Datos!X13),(Datos!N13-Datos!X13)/Datos!X13," - ")</f>
        <v>-1.8494897959183673E-2</v>
      </c>
      <c r="H13" s="1003">
        <f>IF(ISNUMBER(((NºAsuntos!G13/NºAsuntos!E13)-Datos!BD13)/Datos!BD13),((NºAsuntos!G13/NºAsuntos!E13)-Datos!BD13)/Datos!BD13," - ")</f>
        <v>-8.1949914085289108E-2</v>
      </c>
      <c r="I13" s="1003">
        <f>IF(ISNUMBER(((NºAsuntos!I13/NºAsuntos!G13)-Datos!BE13)/Datos!BE13),((NºAsuntos!I13/NºAsuntos!G13)-Datos!BE13)/Datos!BE13," - ")</f>
        <v>0.316242937300104</v>
      </c>
      <c r="J13" s="1003">
        <f>IF(ISNUMBER((('Resol  Asuntos'!D13/NºAsuntos!G13)-Datos!BF13)/Datos!BF13),(('Resol  Asuntos'!D13/NºAsuntos!G13)-Datos!BF13)/Datos!BF13," - ")</f>
        <v>-0.38136403787422812</v>
      </c>
      <c r="K13" s="1003">
        <f>IF(ISNUMBER((((NºAsuntos!C13+NºAsuntos!E13)/NºAsuntos!G13)-Datos!BG13)/Datos!BG13),(((NºAsuntos!C13+NºAsuntos!E13)/NºAsuntos!G13)-Datos!BG13)/Datos!BG13," - ")</f>
        <v>0.26827105194355882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0.43274184315970232</v>
      </c>
      <c r="C15" s="472">
        <f>IF(ISNUMBER(
   IF(D_I="SI",(Datos!J15-Datos!T15)/Datos!T15,(Datos!J15+Datos!AD15-(Datos!T15+Datos!AL15))/(Datos!T15+Datos!AL15))
     ),IF(D_I="SI",(Datos!J15-Datos!T15)/Datos!T15,(Datos!J15+Datos!AD15-(Datos!T15+Datos!AL15))/(Datos!T15+Datos!AL15))," - ")</f>
        <v>5.9886605244507445E-2</v>
      </c>
      <c r="D15" s="472">
        <f>IF(ISNUMBER(
   IF(D_I="SI",(Datos!K15-Datos!U15)/Datos!U15,(Datos!K15+Datos!AE15-(Datos!U15+Datos!AM15))/(Datos!U15+Datos!AM15))
     ),IF(D_I="SI",(Datos!K15-Datos!U15)/Datos!U15,(Datos!K15+Datos!AE15-(Datos!U15+Datos!AM15))/(Datos!U15+Datos!AM15))," - ")</f>
        <v>0.18969957081545064</v>
      </c>
      <c r="E15" s="472">
        <f>IF(ISNUMBER(
   IF(D_I="SI",(Datos!L15-Datos!V15)/Datos!V15,(Datos!L15+Datos!AF15-(Datos!V15+Datos!AN15))/(Datos!V15+Datos!AN15))
     ),IF(D_I="SI",(Datos!L15-Datos!V15)/Datos!V15,(Datos!L15+Datos!AF15-(Datos!V15+Datos!AN15))/(Datos!V15+Datos!AN15))," - ")</f>
        <v>0.26685133887349954</v>
      </c>
      <c r="F15" s="472">
        <f>IF(ISNUMBER((Datos!M15-Datos!W15)/Datos!W15),(Datos!M15-Datos!W15)/Datos!W15," - ")</f>
        <v>-1.020408163265306E-2</v>
      </c>
      <c r="G15" s="473">
        <f>IF(ISNUMBER((Datos!N15-Datos!X15)/Datos!X15),(Datos!N15-Datos!X15)/Datos!X15," - ")</f>
        <v>0.16749174917491749</v>
      </c>
      <c r="H15" s="471">
        <f>IF(ISNUMBER(((NºAsuntos!G15/NºAsuntos!E15)-Datos!BD15)/Datos!BD15),((NºAsuntos!G15/NºAsuntos!E15)-Datos!BD15)/Datos!BD15," - ")</f>
        <v>0.12247816410605207</v>
      </c>
      <c r="I15" s="472">
        <f>IF(ISNUMBER(((NºAsuntos!I15/NºAsuntos!G15)-Datos!BE15)/Datos!BE15),((NºAsuntos!I15/NºAsuntos!G15)-Datos!BE15)/Datos!BE15," - ")</f>
        <v>6.4849790611563471E-2</v>
      </c>
      <c r="J15" s="477">
        <f>IF(ISNUMBER((('Resol  Asuntos'!D15/NºAsuntos!G15)-Datos!BF15)/Datos!BF15),(('Resol  Asuntos'!D15/NºAsuntos!G15)-Datos!BF15)/Datos!BF15," - ")</f>
        <v>-0.16802868333480581</v>
      </c>
      <c r="K15" s="478">
        <f>IF(ISNUMBER((((NºAsuntos!C15+NºAsuntos!E15)/NºAsuntos!G15)-Datos!BG15)/Datos!BG15),(((NºAsuntos!C15+NºAsuntos!E15)/NºAsuntos!G15)-Datos!BG15)/Datos!BG15," - ")</f>
        <v>1.0718446700061874E-2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0.26829268292682928</v>
      </c>
      <c r="C17" s="472">
        <f>IF(ISNUMBER(
   IF(D_I="SI",(Datos!J17-Datos!T17)/Datos!T17,(Datos!J17+Datos!AD17-(Datos!T17+Datos!AL17))/(Datos!T17+Datos!AL17))
     ),IF(D_I="SI",(Datos!J17-Datos!T17)/Datos!T17,(Datos!J17+Datos!AD17-(Datos!T17+Datos!AL17))/(Datos!T17+Datos!AL17))," - ")</f>
        <v>0.33663366336633666</v>
      </c>
      <c r="D17" s="472">
        <f>IF(ISNUMBER(
   IF(D_I="SI",(Datos!K17-Datos!U17)/Datos!U17,(Datos!K17+Datos!AE17-(Datos!U17+Datos!AM17))/(Datos!U17+Datos!AM17))
     ),IF(D_I="SI",(Datos!K17-Datos!U17)/Datos!U17,(Datos!K17+Datos!AE17-(Datos!U17+Datos!AM17))/(Datos!U17+Datos!AM17))," - ")</f>
        <v>0.28467153284671531</v>
      </c>
      <c r="E17" s="472">
        <f>IF(ISNUMBER(
   IF(D_I="SI",(Datos!L17-Datos!V17)/Datos!V17,(Datos!L17+Datos!AF17-(Datos!V17+Datos!AN17))/(Datos!V17+Datos!AN17))
     ),IF(D_I="SI",(Datos!L17-Datos!V17)/Datos!V17,(Datos!L17+Datos!AF17-(Datos!V17+Datos!AN17))/(Datos!V17+Datos!AN17))," - ")</f>
        <v>0.44585987261146498</v>
      </c>
      <c r="F17" s="472">
        <f>IF(ISNUMBER((Datos!M17-Datos!W17)/Datos!W17),(Datos!M17-Datos!W17)/Datos!W17," - ")</f>
        <v>4.878048780487805E-2</v>
      </c>
      <c r="G17" s="473">
        <f>IF(ISNUMBER((Datos!N17-Datos!X17)/Datos!X17),(Datos!N17-Datos!X17)/Datos!X17," - ")</f>
        <v>0.23157894736842105</v>
      </c>
      <c r="H17" s="471">
        <f>IF(ISNUMBER(((NºAsuntos!G17/NºAsuntos!E17)-Datos!BD17)/Datos!BD17),((NºAsuntos!G17/NºAsuntos!E17)-Datos!BD17)/Datos!BD17," - ")</f>
        <v>-3.8875371722087097E-2</v>
      </c>
      <c r="I17" s="472">
        <f>IF(ISNUMBER(((NºAsuntos!I17/NºAsuntos!G17)-Datos!BE17)/Datos!BE17),((NºAsuntos!I17/NºAsuntos!G17)-Datos!BE17)/Datos!BE17," - ")</f>
        <v>0.12547046902142453</v>
      </c>
      <c r="J17" s="477">
        <f>IF(ISNUMBER((('Resol  Asuntos'!D17/NºAsuntos!G17)-Datos!BF17)/Datos!BF17),(('Resol  Asuntos'!D17/NºAsuntos!G17)-Datos!BF17)/Datos!BF17," - ")</f>
        <v>-0.18361973392461203</v>
      </c>
      <c r="K17" s="478">
        <f>IF(ISNUMBER((((NºAsuntos!C17+NºAsuntos!E17)/NºAsuntos!G17)-Datos!BG17)/Datos!BG17),(((NºAsuntos!C17+NºAsuntos!E17)/NºAsuntos!G17)-Datos!BG17)/Datos!BG17," - ")</f>
        <v>2.5088028169014072E-2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0.41862899005756149</v>
      </c>
      <c r="C18" s="1001">
        <f>IF(ISNUMBER(
   IF(Criterios!B14="SI",(Datos!J18-Datos!T18)/Datos!T18,(Datos!J18+Datos!AD18-(Datos!T18+Datos!AL18))/(Datos!T18+Datos!AL18))
     ),IF(Criterios!B14="SI",(Datos!J18-Datos!T18)/Datos!T18,(Datos!J18+Datos!AD18-(Datos!T18+Datos!AL18))/(Datos!T18+Datos!AL18))," - ")</f>
        <v>9.4544327340359585E-2</v>
      </c>
      <c r="D18" s="1001">
        <f>IF(ISNUMBER(
   IF(Criterios!B14="SI",(Datos!K18-Datos!U18)/Datos!U18,(Datos!K18+Datos!AE18-(Datos!U18+Datos!AM18))/(Datos!U18+Datos!AM18))
     ),IF(Criterios!B14="SI",(Datos!K18-Datos!U18)/Datos!U18,(Datos!K18+Datos!AE18-(Datos!U18+Datos!AM18))/(Datos!U18+Datos!AM18))," - ")</f>
        <v>0.20394016782196278</v>
      </c>
      <c r="E18" s="1001">
        <f>IF(ISNUMBER(
   IF(Criterios!B14="SI",(Datos!L18-Datos!V18)/Datos!V18,(Datos!L18+Datos!AF18-(Datos!V18+Datos!AN18))/(Datos!V18+Datos!AN18))
     ),IF(Criterios!B14="SI",(Datos!L18-Datos!V18)/Datos!V18,(Datos!L18+Datos!AF18-(Datos!V18+Datos!AN18))/(Datos!V18+Datos!AN18))," - ")</f>
        <v>0.27894963409384416</v>
      </c>
      <c r="F18" s="1002">
        <f>IF(ISNUMBER((Datos!M18-Datos!W18)/Datos!W18),(Datos!M18-Datos!W18)/Datos!W18," - ")</f>
        <v>0</v>
      </c>
      <c r="G18" s="1003">
        <f>IF(ISNUMBER((Datos!N18-Datos!X18)/Datos!X18),(Datos!N18-Datos!X18)/Datos!X18," - ")</f>
        <v>0.17969271877087509</v>
      </c>
      <c r="H18" s="1003">
        <f>IF(ISNUMBER(((NºAsuntos!G18/NºAsuntos!E18)-Datos!BD18)/Datos!BD18),((NºAsuntos!G18/NºAsuntos!E18)-Datos!BD18)/Datos!BD18," - ")</f>
        <v>9.9946468817233583E-2</v>
      </c>
      <c r="I18" s="1003">
        <f>IF(ISNUMBER(((NºAsuntos!I18/NºAsuntos!G18)-Datos!BE18)/Datos!BE18),((NºAsuntos!I18/NºAsuntos!G18)-Datos!BE18)/Datos!BE18," - ")</f>
        <v>6.2303317288250497E-2</v>
      </c>
      <c r="J18" s="1003">
        <f>IF(ISNUMBER((('Resol  Asuntos'!D18/NºAsuntos!G18)-Datos!BF18)/Datos!BF18),(('Resol  Asuntos'!D18/NºAsuntos!G18)-Datos!BF18)/Datos!BF18," - ")</f>
        <v>-0.16939393939393937</v>
      </c>
      <c r="K18" s="1003">
        <f>IF(ISNUMBER((((NºAsuntos!C18+NºAsuntos!E18)/NºAsuntos!G18)-Datos!BG18)/Datos!BG18),(((NºAsuntos!C18+NºAsuntos!E18)/NºAsuntos!G18)-Datos!BG18)/Datos!BG18," - ")</f>
        <v>9.2744851670294552E-3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0.35392276777913684</v>
      </c>
      <c r="C19" s="948">
        <f>IF(ISNUMBER(
   IF(J_V="SI",(Datos!J19-Datos!T19)/Datos!T19,(Datos!J19+Datos!Z19-(Datos!T19+Datos!AH19))/(Datos!T19+Datos!AH19))
     ),IF(J_V="SI",(Datos!J19-Datos!T19)/Datos!T19,(Datos!J19+Datos!Z19-(Datos!T19+Datos!AH19))/(Datos!T19+Datos!AH19))," - ")</f>
        <v>9.1833851370443628E-2</v>
      </c>
      <c r="D19" s="948">
        <f>IF(ISNUMBER(
   IF(J_V="SI",(Datos!K19-Datos!U19)/Datos!U19,(Datos!K19+Datos!AA19-(Datos!U19+Datos!AI19))/(Datos!U19+Datos!AI19))
     ),IF(J_V="SI",(Datos!K19-Datos!U19)/Datos!U19,(Datos!K19+Datos!AA19-(Datos!U19+Datos!AI19))/(Datos!U19+Datos!AI19))," - ")</f>
        <v>8.7664370695053229E-2</v>
      </c>
      <c r="E19" s="948">
        <f>IF(ISNUMBER(
   IF(J_V="SI",(Datos!L19-Datos!V19)/Datos!V19,(Datos!L19+Datos!AB19-(Datos!V19+Datos!AJ19))/(Datos!V19+Datos!AJ19))
     ),IF(J_V="SI",(Datos!L19-Datos!V19)/Datos!V19,(Datos!L19+Datos!AB19-(Datos!V19+Datos!AJ19))/(Datos!V19+Datos!AJ19))," - ")</f>
        <v>0.30955259975816202</v>
      </c>
      <c r="F19" s="949">
        <f>IF(ISNUMBER((Datos!M19-Datos!W19)/Datos!W19),(Datos!M19-Datos!W19)/Datos!W19," - ")</f>
        <v>0.161186848436247</v>
      </c>
      <c r="G19" s="950">
        <f>IF(ISNUMBER((Datos!N19-Datos!X19)/Datos!X19),(Datos!N19-Datos!X19)/Datos!X19," - ")</f>
        <v>7.8303425774877644E-2</v>
      </c>
      <c r="H19" s="951">
        <f>IF(ISNUMBER((Tasas!B19-Datos!BD19)/Datos!BD19),(Tasas!B19-Datos!BD19)/Datos!BD19," - ")</f>
        <v>-3.8187867780038855E-3</v>
      </c>
      <c r="I19" s="952">
        <f>IF(ISNUMBER((Tasas!C19-Datos!BE19)/Datos!BE19),(Tasas!C19-Datos!BE19)/Datos!BE19," - ")</f>
        <v>0.20400431883349723</v>
      </c>
      <c r="J19" s="953">
        <f>IF(ISNUMBER((Tasas!D19-Datos!BF19)/Datos!BF19),(Tasas!D19-Datos!BF19)/Datos!BF19," - ")</f>
        <v>-0.34995457325849161</v>
      </c>
      <c r="K19" s="953">
        <f>IF(ISNUMBER((Tasas!E19-Datos!BG19)/Datos!BG19),(Tasas!E19-Datos!BG19)/Datos!BG19," - ")</f>
        <v>0.15272589158168773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5FidXP+H0HFgzo69wbSE5+yE7I5HmWeU54tq6+or1HJ3oJm8i8EnXi8R8AgPj20QDbuv2Y62QwLJj7f6W+wGQ==" saltValue="4N3cn7J5KEkXqD+HUgTj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ELCHE-ELX</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0.82839575181665737</v>
      </c>
      <c r="C9" s="459">
        <f>IF(ISNUMBER(NºAsuntos!I9/NºAsuntos!G9),NºAsuntos!I9/NºAsuntos!G9," - ")</f>
        <v>4.1177462887989202</v>
      </c>
      <c r="D9" s="460">
        <f>IF(ISNUMBER('Resol  Asuntos'!D9/NºAsuntos!G9),'Resol  Asuntos'!D9/NºAsuntos!G9," - ")</f>
        <v>0.25303643724696356</v>
      </c>
      <c r="E9" s="461">
        <f>IF(ISNUMBER((NºAsuntos!C9+NºAsuntos!E9)/NºAsuntos!G9),(NºAsuntos!C9+NºAsuntos!E9)/NºAsuntos!G9," - ")</f>
        <v>5.1126855600539809</v>
      </c>
      <c r="G9" s="479"/>
    </row>
    <row r="10" spans="1:7">
      <c r="A10" s="413" t="str">
        <f>Datos!A10</f>
        <v>Jdos. Violencia contra la mujer</v>
      </c>
      <c r="B10" s="458">
        <f>IF(ISNUMBER(NºAsuntos!G10/NºAsuntos!E10),NºAsuntos!G10/NºAsuntos!E10," - ")</f>
        <v>0.9358974358974359</v>
      </c>
      <c r="C10" s="459">
        <f>IF(ISNUMBER(NºAsuntos!I10/NºAsuntos!G10),NºAsuntos!I10/NºAsuntos!G10," - ")</f>
        <v>1.8493150684931507</v>
      </c>
      <c r="D10" s="460">
        <f>IF(ISNUMBER('Resol  Asuntos'!D10/NºAsuntos!G10),'Resol  Asuntos'!D10/NºAsuntos!G10," - ")</f>
        <v>0.20547945205479451</v>
      </c>
      <c r="E10" s="461">
        <f>IF(ISNUMBER((NºAsuntos!C10+NºAsuntos!E10)/NºAsuntos!G10),(NºAsuntos!C10+NºAsuntos!E10)/NºAsuntos!G10," - ")</f>
        <v>2.8493150684931505</v>
      </c>
      <c r="G10" s="479"/>
    </row>
    <row r="11" spans="1:7">
      <c r="A11" s="413" t="str">
        <f>Datos!A11</f>
        <v xml:space="preserve">Jdos. Familia                                   </v>
      </c>
      <c r="B11" s="458">
        <f>IF(ISNUMBER(NºAsuntos!G11/NºAsuntos!E11),NºAsuntos!G11/NºAsuntos!E11," - ")</f>
        <v>1.1293900184842884</v>
      </c>
      <c r="C11" s="459">
        <f>IF(ISNUMBER(NºAsuntos!I11/NºAsuntos!G11),NºAsuntos!I11/NºAsuntos!G11," - ")</f>
        <v>1.5286415711947627</v>
      </c>
      <c r="D11" s="460">
        <f>IF(ISNUMBER('Resol  Asuntos'!D11/NºAsuntos!G11),'Resol  Asuntos'!D11/NºAsuntos!G11," - ")</f>
        <v>0.34206219312602293</v>
      </c>
      <c r="E11" s="461">
        <f>IF(ISNUMBER((NºAsuntos!C11+NºAsuntos!E11)/NºAsuntos!G11),(NºAsuntos!C11+NºAsuntos!E11)/NºAsuntos!G11," - ")</f>
        <v>2.6530278232405893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0.86919228020014294</v>
      </c>
      <c r="C13" s="1005">
        <f>IF(ISNUMBER(NºAsuntos!I13/NºAsuntos!G13),NºAsuntos!I13/NºAsuntos!G13," - ")</f>
        <v>3.6387061403508771</v>
      </c>
      <c r="D13" s="1006">
        <f>IF(ISNUMBER('Resol  Asuntos'!D13/NºAsuntos!G13),'Resol  Asuntos'!D13/NºAsuntos!G13," - ")</f>
        <v>0.2669956140350877</v>
      </c>
      <c r="E13" s="1007">
        <f>IF(ISNUMBER((NºAsuntos!C13+NºAsuntos!E13)/NºAsuntos!G13),(NºAsuntos!C13+NºAsuntos!E13)/NºAsuntos!G13," - ")</f>
        <v>4.6554276315789478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0.92678034102306917</v>
      </c>
      <c r="C15" s="459">
        <f>IF(ISNUMBER(NºAsuntos!I15/NºAsuntos!G15),NºAsuntos!I15/NºAsuntos!G15," - ")</f>
        <v>0.98989898989898994</v>
      </c>
      <c r="D15" s="460">
        <f>IF(ISNUMBER('Resol  Asuntos'!D15/NºAsuntos!G15),'Resol  Asuntos'!D15/NºAsuntos!G15," - ")</f>
        <v>0.13997113997113997</v>
      </c>
      <c r="E15" s="461">
        <f>IF(ISNUMBER((NºAsuntos!C15+NºAsuntos!E15)/NºAsuntos!G15),(NºAsuntos!C15+NºAsuntos!E15)/NºAsuntos!G15," - ")</f>
        <v>1.9819624819624819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0.97777777777777775</v>
      </c>
      <c r="C17" s="459">
        <f>IF(ISNUMBER(NºAsuntos!I17/NºAsuntos!G17),NºAsuntos!I17/NºAsuntos!G17," - ")</f>
        <v>0.42992424242424243</v>
      </c>
      <c r="D17" s="460">
        <f>IF(ISNUMBER('Resol  Asuntos'!D17/NºAsuntos!G17),'Resol  Asuntos'!D17/NºAsuntos!G17," - ")</f>
        <v>0.16287878787878787</v>
      </c>
      <c r="E17" s="461">
        <f>IF(ISNUMBER((NºAsuntos!C17+NºAsuntos!E17)/NºAsuntos!G17),(NºAsuntos!C17+NºAsuntos!E17)/NºAsuntos!G17," - ")</f>
        <v>1.4166666666666667</v>
      </c>
      <c r="G17" s="479"/>
    </row>
    <row r="18" spans="1:7" ht="14.25" thickTop="1" thickBot="1">
      <c r="A18" s="994" t="str">
        <f>Datos!A18</f>
        <v>TOTAL</v>
      </c>
      <c r="B18" s="1004">
        <f>IF(ISNUMBER(NºAsuntos!G18/NºAsuntos!E18),NºAsuntos!G18/NºAsuntos!E18," - ")</f>
        <v>0.93457943925233644</v>
      </c>
      <c r="C18" s="1005">
        <f>IF(ISNUMBER(NºAsuntos!I18/NºAsuntos!G18),NºAsuntos!I18/NºAsuntos!G18," - ")</f>
        <v>0.90030303030303027</v>
      </c>
      <c r="D18" s="1008">
        <f>IF(ISNUMBER('Resol  Asuntos'!D18/NºAsuntos!G18),'Resol  Asuntos'!D18/NºAsuntos!G18," - ")</f>
        <v>0.14363636363636365</v>
      </c>
      <c r="E18" s="1007">
        <f>IF(ISNUMBER((NºAsuntos!C18+NºAsuntos!E18)/NºAsuntos!G18),(NºAsuntos!C18+NºAsuntos!E18)/NºAsuntos!G18," - ")</f>
        <v>1.8915151515151516</v>
      </c>
      <c r="G18" s="479"/>
    </row>
    <row r="19" spans="1:7" ht="15.75" customHeight="1" thickTop="1" thickBot="1">
      <c r="A19" s="939" t="str">
        <f>Datos!A19</f>
        <v>TOTAL JURISDICCIONES</v>
      </c>
      <c r="B19" s="954">
        <f>IF(ISNUMBER(NºAsuntos!G19/NºAsuntos!E19),NºAsuntos!G19/NºAsuntos!E19," - ")</f>
        <v>0.89906832298136641</v>
      </c>
      <c r="C19" s="955">
        <f>IF(ISNUMBER(NºAsuntos!I19/NºAsuntos!G19),NºAsuntos!I19/NºAsuntos!G19," - ")</f>
        <v>2.338082901554404</v>
      </c>
      <c r="D19" s="956">
        <f>IF(ISNUMBER('Resol  Asuntos'!D19/NºAsuntos!G19),'Resol  Asuntos'!D19/NºAsuntos!G19," - ")</f>
        <v>0.20840529648819806</v>
      </c>
      <c r="E19" s="957">
        <f>IF(ISNUMBER((NºAsuntos!C19+NºAsuntos!E19)/NºAsuntos!G19),(NºAsuntos!C19+NºAsuntos!E19)/NºAsuntos!G19," - ")</f>
        <v>3.3426885434657456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kUJWQ6pTxZJPwm+G0Z/G1fv511OnY4NmITj+vnjeEzmSjKLDY7AJW41Z7aY1TiAZn6/0gr6tDVJ/Locm/+eZw==" saltValue="HU0zT15HuHvZKA1+9jHs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ELCHE-ELX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626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394</v>
      </c>
      <c r="Y9" s="343">
        <f>SUM(W9:X9)</f>
        <v>394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13183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750</v>
      </c>
      <c r="AJ9" s="233" t="str">
        <f>IF(ISNUMBER(Datos!BW9),Datos!BW9," - ")</f>
        <v xml:space="preserve"> - </v>
      </c>
      <c r="AK9" s="232" t="str">
        <f>IF(ISNUMBER(Datos!BX9),Datos!BX9," - ")</f>
        <v xml:space="preserve"> - </v>
      </c>
      <c r="AL9" s="247">
        <f>IF(ISNUMBER(NºAsuntos!G9/NºAsuntos!E9),NºAsuntos!G9/NºAsuntos!E9," - ")</f>
        <v>0.82839575181665737</v>
      </c>
      <c r="AM9" s="264">
        <f>IF(ISNUMBER(((NºAsuntos!I9/NºAsuntos!G9)*11)/factor_trimestre),((NºAsuntos!I9/NºAsuntos!G9)*11)/factor_trimestre," - ")</f>
        <v>8.2354925775978405</v>
      </c>
      <c r="AN9" s="248">
        <f>IF(ISNUMBER('Resol  Asuntos'!D9/NºAsuntos!G9),'Resol  Asuntos'!D9/NºAsuntos!G9," - ")</f>
        <v>0.25303643724696356</v>
      </c>
      <c r="AO9" s="249">
        <f>IF(ISNUMBER((NºAsuntos!C9+NºAsuntos!E9)/NºAsuntos!G9),(NºAsuntos!C9+NºAsuntos!E9)/NºAsuntos!G9," - ")</f>
        <v>5.1126855600539809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130</v>
      </c>
      <c r="G10" s="342">
        <f>IF(ISNUMBER(Datos!I10),Datos!I10," - ")</f>
        <v>130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73</v>
      </c>
      <c r="X10" s="230">
        <f>IF(ISNUMBER(Datos!Q10),Datos!Q10," - ")</f>
        <v>15</v>
      </c>
      <c r="Y10" s="343">
        <f t="shared" ref="Y10:Y12" si="0">SUM(W10:X10)</f>
        <v>88</v>
      </c>
      <c r="Z10" s="344" t="str">
        <f>IF(ISNUMBER(Datos!CC10),Datos!CC10," - ")</f>
        <v xml:space="preserve"> - </v>
      </c>
      <c r="AA10" s="341">
        <f>IF(ISNUMBER(Datos!L10),Datos!L10,"-")</f>
        <v>135</v>
      </c>
      <c r="AB10" s="343">
        <f>IF(ISNUMBER(Datos!R10),Datos!R10," - ")</f>
        <v>196</v>
      </c>
      <c r="AC10" s="343">
        <f t="shared" ref="AC10:AC12" si="1">IF(ISNUMBER(AA10+AB10),AA10+AB10," - ")</f>
        <v>331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0.9358974358974359</v>
      </c>
      <c r="AM10" s="264">
        <f>IF(ISNUMBER(((NºAsuntos!I10/NºAsuntos!G10)*11)/factor_trimestre),((NºAsuntos!I10/NºAsuntos!G10)*11)/factor_trimestre," - ")</f>
        <v>3.6986301369863015</v>
      </c>
      <c r="AN10" s="248">
        <f>IF(ISNUMBER('Resol  Asuntos'!D10/NºAsuntos!G10),'Resol  Asuntos'!D10/NºAsuntos!G10," - ")</f>
        <v>0.20547945205479451</v>
      </c>
      <c r="AO10" s="249">
        <f>IF(ISNUMBER((NºAsuntos!C10+NºAsuntos!E10)/NºAsuntos!G10),(NºAsuntos!C10+NºAsuntos!E10)/NºAsuntos!G10," - ")</f>
        <v>2.8493150684931505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103</v>
      </c>
      <c r="Y11" s="343">
        <f t="shared" si="0"/>
        <v>103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1838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209</v>
      </c>
      <c r="AJ11" s="235" t="str">
        <f>IF(ISNUMBER(Datos!BW11),Datos!BW11," - ")</f>
        <v xml:space="preserve"> - </v>
      </c>
      <c r="AK11" s="236" t="str">
        <f>IF(ISNUMBER(Datos!BX11),Datos!BX11," - ")</f>
        <v xml:space="preserve"> - </v>
      </c>
      <c r="AL11" s="247">
        <f>IF(ISNUMBER(NºAsuntos!G11/NºAsuntos!E11),NºAsuntos!G11/NºAsuntos!E11," - ")</f>
        <v>1.1293900184842884</v>
      </c>
      <c r="AM11" s="264">
        <f>IF(ISNUMBER(((NºAsuntos!I11/NºAsuntos!G11)*11)/factor_trimestre),((NºAsuntos!I11/NºAsuntos!G11)*11)/factor_trimestre," - ")</f>
        <v>3.0572831423895255</v>
      </c>
      <c r="AN11" s="248">
        <f>IF(ISNUMBER('Resol  Asuntos'!D11/NºAsuntos!G11),'Resol  Asuntos'!D11/NºAsuntos!G11," - ")</f>
        <v>0.34206219312602293</v>
      </c>
      <c r="AO11" s="249">
        <f>IF(ISNUMBER((NºAsuntos!C11+NºAsuntos!E11)/NºAsuntos!G11),(NºAsuntos!C11+NºAsuntos!E11)/NºAsuntos!G11," - ")</f>
        <v>2.6530278232405893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130</v>
      </c>
      <c r="G13" s="1012">
        <f t="shared" si="3"/>
        <v>130</v>
      </c>
      <c r="H13" s="1011">
        <f t="shared" si="3"/>
        <v>0</v>
      </c>
      <c r="I13" s="1013">
        <f t="shared" si="3"/>
        <v>0</v>
      </c>
      <c r="J13" s="1013">
        <f t="shared" si="3"/>
        <v>0</v>
      </c>
      <c r="K13" s="1013">
        <f t="shared" si="3"/>
        <v>0</v>
      </c>
      <c r="L13" s="1013">
        <f t="shared" si="3"/>
        <v>719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73</v>
      </c>
      <c r="X13" s="1013">
        <f t="shared" si="4"/>
        <v>512</v>
      </c>
      <c r="Y13" s="1014">
        <f t="shared" si="4"/>
        <v>585</v>
      </c>
      <c r="Z13" s="1014">
        <f t="shared" si="4"/>
        <v>0</v>
      </c>
      <c r="AA13" s="1014">
        <f t="shared" si="4"/>
        <v>135</v>
      </c>
      <c r="AB13" s="1014">
        <f t="shared" si="4"/>
        <v>15217</v>
      </c>
      <c r="AC13" s="1014">
        <f t="shared" si="4"/>
        <v>331</v>
      </c>
      <c r="AD13" s="1014">
        <f t="shared" si="4"/>
        <v>0</v>
      </c>
      <c r="AE13" s="1018">
        <f t="shared" si="4"/>
        <v>0</v>
      </c>
      <c r="AF13" s="1011">
        <f t="shared" si="4"/>
        <v>0</v>
      </c>
      <c r="AG13" s="1019">
        <f t="shared" si="4"/>
        <v>0</v>
      </c>
      <c r="AH13" s="1016">
        <f t="shared" si="4"/>
        <v>0</v>
      </c>
      <c r="AI13" s="1011">
        <f t="shared" si="4"/>
        <v>974</v>
      </c>
      <c r="AJ13" s="1013">
        <f t="shared" si="4"/>
        <v>0</v>
      </c>
      <c r="AK13" s="1016">
        <f>SUBTOTAL(9,AK9:AK12)</f>
        <v>0</v>
      </c>
      <c r="AL13" s="1020">
        <f>IF(ISNUMBER(NºAsuntos!G13/NºAsuntos!E13),NºAsuntos!G13/NºAsuntos!E13," - ")</f>
        <v>0.86919228020014294</v>
      </c>
      <c r="AM13" s="1020">
        <f>IF(ISNUMBER(((NºAsuntos!I13/NºAsuntos!G13)*11)/factor_trimestre),((NºAsuntos!I13/NºAsuntos!G13)*11)/factor_trimestre," - ")</f>
        <v>7.2774122807017543</v>
      </c>
      <c r="AN13" s="1021">
        <f>IF(ISNUMBER('Resol  Asuntos'!D13/NºAsuntos!G13),'Resol  Asuntos'!D13/NºAsuntos!G13," - ")</f>
        <v>0.2669956140350877</v>
      </c>
      <c r="AO13" s="1022">
        <f>IF(ISNUMBER((NºAsuntos!C13+NºAsuntos!E13)/NºAsuntos!G13),(NºAsuntos!C13+NºAsuntos!E13)/NºAsuntos!G13," - ")</f>
        <v>4.6554276315789478</v>
      </c>
      <c r="AP13" s="1023" t="str">
        <f t="shared" si="2"/>
        <v xml:space="preserve"> - </v>
      </c>
      <c r="AQ13" s="1023">
        <f>IF(ISNUMBER((H13-W13+K13)/(F13)),(H13-W13+K13)/(F13)," - ")</f>
        <v>-0.56153846153846154</v>
      </c>
      <c r="AR13" s="1024">
        <f>IF(ISNUMBER((Datos!P13-Datos!Q13)/(Datos!R13-Datos!P13+Datos!Q13)),(Datos!P13-Datos!Q13)/(Datos!R13-Datos!P13+Datos!Q13)," - ")</f>
        <v>1.3790806129247168E-2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2525</v>
      </c>
      <c r="G15" s="342">
        <f>IF(ISNUMBER(IF(D_I="SI",Datos!I15,Datos!I15+Datos!AC15)),IF(D_I="SI",Datos!I15,Datos!I15+Datos!AC15)," - ")</f>
        <v>2503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2772</v>
      </c>
      <c r="X15" s="230">
        <f>IF(ISNUMBER(Datos!Q15),Datos!Q15," - ")</f>
        <v>121</v>
      </c>
      <c r="Y15" s="343">
        <f>SUM(W15)</f>
        <v>2772</v>
      </c>
      <c r="Z15" s="344" t="str">
        <f>IF(ISNUMBER(Datos!CC15),Datos!CC15," - ")</f>
        <v xml:space="preserve"> - </v>
      </c>
      <c r="AA15" s="341">
        <f>IF(ISNUMBER(IF(D_I="SI",Datos!L15,Datos!L15+Datos!AF15)),IF(D_I="SI",Datos!L15,Datos!L15+Datos!AF15)," - ")</f>
        <v>2744</v>
      </c>
      <c r="AB15" s="343">
        <f>IF(ISNUMBER(Datos!R15),Datos!R15," - ")</f>
        <v>464</v>
      </c>
      <c r="AC15" s="343">
        <f t="shared" ref="AC15:AC17" si="6">IF(ISNUMBER(AA15+AB15),AA15+AB15," - ")</f>
        <v>3208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388</v>
      </c>
      <c r="AJ15" s="235" t="str">
        <f>IF(ISNUMBER(Datos!BW15),Datos!BW15," - ")</f>
        <v xml:space="preserve"> - </v>
      </c>
      <c r="AK15" s="236" t="str">
        <f>IF(ISNUMBER(Datos!BX15),Datos!BX15," - ")</f>
        <v xml:space="preserve"> - </v>
      </c>
      <c r="AL15" s="247">
        <f>IF(ISNUMBER(NºAsuntos!G15/NºAsuntos!E15),NºAsuntos!G15/NºAsuntos!E15," - ")</f>
        <v>0.92678034102306917</v>
      </c>
      <c r="AM15" s="264">
        <f>IF(ISNUMBER(((NºAsuntos!I15/NºAsuntos!G15)*11)/factor_trimestre),((NºAsuntos!I15/NºAsuntos!G15)*11)/factor_trimestre," - ")</f>
        <v>1.9797979797979799</v>
      </c>
      <c r="AN15" s="248">
        <f>IF(ISNUMBER('Resol  Asuntos'!D15/NºAsuntos!G15),'Resol  Asuntos'!D15/NºAsuntos!G15," - ")</f>
        <v>0.13997113997113997</v>
      </c>
      <c r="AO15" s="249">
        <f>IF(ISNUMBER((NºAsuntos!C15+NºAsuntos!E15)/NºAsuntos!G15),(NºAsuntos!C15+NºAsuntos!E15)/NºAsuntos!G15," - ")</f>
        <v>1.9819624819624819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208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528</v>
      </c>
      <c r="X17" s="230">
        <f>IF(ISNUMBER(Datos!Q17),Datos!Q17," - ")</f>
        <v>13</v>
      </c>
      <c r="Y17" s="343">
        <f t="shared" si="7"/>
        <v>541</v>
      </c>
      <c r="Z17" s="344" t="str">
        <f>IF(ISNUMBER(Datos!CC17),Datos!CC17," - ")</f>
        <v xml:space="preserve"> - </v>
      </c>
      <c r="AA17" s="341">
        <f>IF(ISNUMBER(Datos!L17),Datos!L17,"-")</f>
        <v>227</v>
      </c>
      <c r="AB17" s="343">
        <f>IF(ISNUMBER(Datos!R17),Datos!R17," - ")</f>
        <v>11</v>
      </c>
      <c r="AC17" s="343">
        <f t="shared" si="6"/>
        <v>238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86</v>
      </c>
      <c r="AJ17" s="235" t="str">
        <f>IF(ISNUMBER(Datos!BW17),Datos!BW17," - ")</f>
        <v xml:space="preserve"> - </v>
      </c>
      <c r="AK17" s="236" t="str">
        <f>IF(ISNUMBER(Datos!BX17),Datos!BX17," - ")</f>
        <v xml:space="preserve"> - </v>
      </c>
      <c r="AL17" s="247">
        <f>IF(ISNUMBER(NºAsuntos!G17/NºAsuntos!E17),NºAsuntos!G17/NºAsuntos!E17," - ")</f>
        <v>0.97777777777777775</v>
      </c>
      <c r="AM17" s="264">
        <f>IF(ISNUMBER(((NºAsuntos!I17/NºAsuntos!G17)*11)/factor_trimestre),((NºAsuntos!I17/NºAsuntos!G17)*11)/factor_trimestre," - ")</f>
        <v>0.85984848484848486</v>
      </c>
      <c r="AN17" s="248">
        <f>IF(ISNUMBER('Resol  Asuntos'!D17/NºAsuntos!G17),'Resol  Asuntos'!D17/NºAsuntos!G17," - ")</f>
        <v>0.16287878787878787</v>
      </c>
      <c r="AO17" s="249">
        <f>IF(ISNUMBER((NºAsuntos!C17+NºAsuntos!E17)/NºAsuntos!G17),(NºAsuntos!C17+NºAsuntos!E17)/NºAsuntos!G17," - ")</f>
        <v>1.4166666666666667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2525</v>
      </c>
      <c r="G18" s="1012">
        <f>SUBTOTAL(9,G15:G17)</f>
        <v>2711</v>
      </c>
      <c r="H18" s="1011">
        <f t="shared" ref="H18:O18" si="10">SUBTOTAL(9,H14:H17)</f>
        <v>0</v>
      </c>
      <c r="I18" s="1013">
        <f t="shared" si="10"/>
        <v>0</v>
      </c>
      <c r="J18" s="1013">
        <f t="shared" si="10"/>
        <v>0</v>
      </c>
      <c r="K18" s="1013">
        <f t="shared" si="10"/>
        <v>0</v>
      </c>
      <c r="L18" s="1013">
        <f t="shared" si="10"/>
        <v>102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3300</v>
      </c>
      <c r="X18" s="1013">
        <f t="shared" si="11"/>
        <v>134</v>
      </c>
      <c r="Y18" s="1014">
        <f t="shared" si="11"/>
        <v>3313</v>
      </c>
      <c r="Z18" s="1014">
        <f t="shared" si="11"/>
        <v>0</v>
      </c>
      <c r="AA18" s="1014">
        <f t="shared" si="11"/>
        <v>2971</v>
      </c>
      <c r="AB18" s="1014">
        <f t="shared" si="11"/>
        <v>475</v>
      </c>
      <c r="AC18" s="1014">
        <f t="shared" si="11"/>
        <v>3446</v>
      </c>
      <c r="AD18" s="1014">
        <f t="shared" si="11"/>
        <v>0</v>
      </c>
      <c r="AE18" s="1018">
        <f t="shared" si="11"/>
        <v>0</v>
      </c>
      <c r="AF18" s="1011">
        <f t="shared" si="11"/>
        <v>0</v>
      </c>
      <c r="AG18" s="1019">
        <f t="shared" si="11"/>
        <v>0</v>
      </c>
      <c r="AH18" s="1016">
        <f t="shared" si="11"/>
        <v>0</v>
      </c>
      <c r="AI18" s="1011">
        <f t="shared" si="11"/>
        <v>474</v>
      </c>
      <c r="AJ18" s="1013">
        <f t="shared" si="11"/>
        <v>0</v>
      </c>
      <c r="AK18" s="1016">
        <f t="shared" si="11"/>
        <v>0</v>
      </c>
      <c r="AL18" s="1020">
        <f>IF(ISNUMBER(NºAsuntos!G18/NºAsuntos!E18),NºAsuntos!G18/NºAsuntos!E18," - ")</f>
        <v>0.93457943925233644</v>
      </c>
      <c r="AM18" s="1020">
        <f>IF(ISNUMBER(((NºAsuntos!I18/NºAsuntos!G18)*11)/factor_trimestre),((NºAsuntos!I18/NºAsuntos!G18)*11)/factor_trimestre," - ")</f>
        <v>1.8006060606060605</v>
      </c>
      <c r="AN18" s="1021">
        <f>IF(ISNUMBER('Resol  Asuntos'!D18/NºAsuntos!G18),'Resol  Asuntos'!D18/NºAsuntos!G18," - ")</f>
        <v>0.14363636363636365</v>
      </c>
      <c r="AO18" s="1022">
        <f>IF(ISNUMBER((NºAsuntos!C18+NºAsuntos!E18)/NºAsuntos!G18),(NºAsuntos!C18+NºAsuntos!E18)/NºAsuntos!G18," - ")</f>
        <v>1.8915151515151516</v>
      </c>
      <c r="AP18" s="1023" t="str">
        <f t="shared" si="2"/>
        <v xml:space="preserve"> - </v>
      </c>
      <c r="AQ18" s="1023">
        <f>IF(ISNUMBER((H18-W18+K18)/(F18)),(H18-W18+K18)/(F18)," - ")</f>
        <v>-1.306930693069307</v>
      </c>
      <c r="AR18" s="1024">
        <f>IF(ISNUMBER((Datos!P18-Datos!Q18)/(Datos!R18-Datos!P18+Datos!Q18)),(Datos!P18-Datos!Q18)/(Datos!R18-Datos!P18+Datos!Q18)," - ")</f>
        <v>-6.3116370808678504E-2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2655</v>
      </c>
      <c r="G19" s="967">
        <f t="shared" si="13"/>
        <v>2841</v>
      </c>
      <c r="H19" s="966">
        <f t="shared" si="13"/>
        <v>0</v>
      </c>
      <c r="I19" s="968">
        <f t="shared" si="13"/>
        <v>0</v>
      </c>
      <c r="J19" s="968">
        <f t="shared" si="13"/>
        <v>0</v>
      </c>
      <c r="K19" s="1027">
        <f t="shared" si="13"/>
        <v>0</v>
      </c>
      <c r="L19" s="968">
        <f t="shared" si="13"/>
        <v>821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3373</v>
      </c>
      <c r="X19" s="967">
        <f t="shared" si="14"/>
        <v>646</v>
      </c>
      <c r="Y19" s="974">
        <f t="shared" si="14"/>
        <v>3898</v>
      </c>
      <c r="Z19" s="974">
        <f t="shared" si="14"/>
        <v>0</v>
      </c>
      <c r="AA19" s="974">
        <f t="shared" si="14"/>
        <v>3106</v>
      </c>
      <c r="AB19" s="974">
        <f t="shared" si="14"/>
        <v>15692</v>
      </c>
      <c r="AC19" s="974">
        <f t="shared" si="14"/>
        <v>3777</v>
      </c>
      <c r="AD19" s="974">
        <f t="shared" si="14"/>
        <v>0</v>
      </c>
      <c r="AE19" s="976">
        <f t="shared" si="14"/>
        <v>0</v>
      </c>
      <c r="AF19" s="977">
        <f t="shared" si="14"/>
        <v>0</v>
      </c>
      <c r="AG19" s="978">
        <f t="shared" si="14"/>
        <v>0</v>
      </c>
      <c r="AH19" s="976">
        <f t="shared" si="14"/>
        <v>0</v>
      </c>
      <c r="AI19" s="966">
        <f t="shared" si="14"/>
        <v>1448</v>
      </c>
      <c r="AJ19" s="966">
        <f t="shared" si="14"/>
        <v>0</v>
      </c>
      <c r="AK19" s="976">
        <f t="shared" si="14"/>
        <v>0</v>
      </c>
      <c r="AL19" s="1030">
        <f>IF(ISNUMBER(NºAsuntos!G19/NºAsuntos!E19),NºAsuntos!G19/NºAsuntos!E19," - ")</f>
        <v>0.89906832298136641</v>
      </c>
      <c r="AM19" s="1031">
        <f>IF(ISNUMBER(((NºAsuntos!I19/NºAsuntos!G19)*11)/factor_trimestre),((NºAsuntos!I19/NºAsuntos!G19)*11)/factor_trimestre," - ")</f>
        <v>4.676165803108808</v>
      </c>
      <c r="AN19" s="1031">
        <f>IF(ISNUMBER('Resol  Asuntos'!D19/NºAsuntos!G19),'Resol  Asuntos'!D19/NºAsuntos!G19," - ")</f>
        <v>0.20840529648819806</v>
      </c>
      <c r="AO19" s="1032">
        <f>IF(ISNUMBER((NºAsuntos!C19+NºAsuntos!E19)/NºAsuntos!G19),(NºAsuntos!C19+NºAsuntos!E19)/NºAsuntos!G19," - ")</f>
        <v>3.3426885434657456</v>
      </c>
      <c r="AP19" s="1033" t="str">
        <f t="shared" si="2"/>
        <v xml:space="preserve"> - </v>
      </c>
      <c r="AQ19" s="1034">
        <f>IF(OR(ISNUMBER(FIND("01",Criterios!A8,1)),ISNUMBER(FIND("02",Criterios!A8,1)),ISNUMBER(FIND("03",Criterios!A8,1)),ISNUMBER(FIND("04",Criterios!A8,1))),(I19-W19+K19)/(F19-K19),(H19-W19+K19)/(F19-K19))</f>
        <v>-1.2704331450094162</v>
      </c>
      <c r="AR19" s="1035">
        <f>IF(ISNUMBER((Datos!P19-Datos!Q19)/(Datos!R19-Datos!P19+Datos!Q19)),(Datos!P19-Datos!Q19)/(Datos!R19-Datos!P19+Datos!Q19)," - ")</f>
        <v>1.1277953212605529E-2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1136.4000000000001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3.419714088113865</v>
      </c>
      <c r="F21" s="256">
        <f>IF(ISNUMBER(STDEV(F8:F18)),STDEV(F8:F18),"-")</f>
        <v>1382.7538947091537</v>
      </c>
      <c r="G21" s="257">
        <f>IF(ISNUMBER(STDEV(G8:G18)),STDEV(G8:G18),"-")</f>
        <v>1344.8577248170157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1562.1877928085344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351.08912177475884</v>
      </c>
      <c r="AJ21" s="256">
        <f t="shared" si="18"/>
        <v>0</v>
      </c>
      <c r="AK21" s="258">
        <f t="shared" si="18"/>
        <v>0</v>
      </c>
      <c r="AL21" s="253">
        <f t="shared" si="18"/>
        <v>9.5670205228242322E-2</v>
      </c>
      <c r="AM21" s="254">
        <f t="shared" si="18"/>
        <v>2.8363547857766913</v>
      </c>
      <c r="AN21" s="254">
        <f t="shared" si="18"/>
        <v>7.5069688934548004E-2</v>
      </c>
      <c r="AO21" s="255">
        <f t="shared" si="18"/>
        <v>1.4195937407942774</v>
      </c>
      <c r="AP21" s="295" t="str">
        <f t="shared" si="18"/>
        <v>-</v>
      </c>
      <c r="AQ21" s="296">
        <f t="shared" si="18"/>
        <v>0.52707190155923389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tH4j6ZKIMFFLE3z+aVTbbNB8Gx3Pv+xV16GEeHkGI0PMTJuBtGUKAL0WV2OwS6bvKGsjeQJEoySKPlQmvX6cQ==" saltValue="B2kdxGHptGbD7VqpdEds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ELCHE-ELX</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0.2776831345826235</v>
      </c>
      <c r="I9" s="359">
        <f>IF(ISNUMBER((Tasas!C9-Datos!BE9)/Datos!BE9),(Tasas!C9-Datos!BE9)/Datos!BE9," - ")</f>
        <v>0.36618900374686891</v>
      </c>
      <c r="J9" s="358">
        <f>IF(ISNUMBER((Tasas!D9-Datos!BF9)/Datos!BF9),(Tasas!D9-Datos!BF9)/Datos!BF9," - ")</f>
        <v>-0.38242979499008012</v>
      </c>
      <c r="K9" s="360">
        <f>IF(ISNUMBER((Tasas!E9-Datos!BG9)/Datos!BG9),(Tasas!E9-Datos!BG9)/Datos!BG9," - ")</f>
        <v>0.3101443880570019</v>
      </c>
      <c r="M9" t="e">
        <f>IF(Monitorios="SI",Datos!CE9,0)</f>
        <v>#REF!</v>
      </c>
      <c r="N9" t="e">
        <f>IF(Monitorios="SI",Datos!CF9,0)</f>
        <v>#REF!</v>
      </c>
      <c r="O9" t="e">
        <f>IF(Monitorios="SI",Datos!CG9,0)</f>
        <v>#REF!</v>
      </c>
      <c r="P9" t="e">
        <f>IF(Monitorios="SI",Datos!CH9,0)</f>
        <v>#REF!</v>
      </c>
      <c r="Q9">
        <f>IF(J_V="SI",0,Datos!AG9)</f>
        <v>167</v>
      </c>
      <c r="R9">
        <f>IF(J_V="SI",0,Datos!AH9)</f>
        <v>174</v>
      </c>
      <c r="S9">
        <f>IF(J_V="SI",0,Datos!AI9)</f>
        <v>170</v>
      </c>
      <c r="T9">
        <f>IF(J_V="SI",0,Datos!AJ9)</f>
        <v>197</v>
      </c>
    </row>
    <row r="10" spans="2:20" ht="14.25">
      <c r="B10" s="279" t="s">
        <v>249</v>
      </c>
      <c r="C10" s="7" t="str">
        <f>Datos!A10</f>
        <v>Jdos. Violencia contra la mujer</v>
      </c>
      <c r="D10" s="361">
        <f>IF(ISNUMBER((Datos!I10-Datos!S10)/Datos!S10),(Datos!I10-Datos!S10)/Datos!S10," - ")</f>
        <v>0.10169491525423729</v>
      </c>
      <c r="E10" s="357">
        <f>IF(ISNUMBER((Datos!J10-Datos!T10)/Datos!T10),(Datos!J10-Datos!T10)/Datos!T10," - ")</f>
        <v>1.3636363636363635</v>
      </c>
      <c r="F10" s="357">
        <f>IF(ISNUMBER((Datos!K10-Datos!U10)/Datos!U10),(Datos!K10-Datos!U10)/Datos!U10," - ")</f>
        <v>1.0277777777777777</v>
      </c>
      <c r="G10" s="358">
        <f>IF(ISNUMBER((Datos!L10-Datos!V10)/Datos!V10),(Datos!L10-Datos!V10)/Datos!V10," - ")</f>
        <v>0.17391304347826086</v>
      </c>
      <c r="H10" s="234">
        <f>IF(ISNUMBER((Datos!M10-Datos!W10)/Datos!W10),(Datos!M10-Datos!W10)/Datos!W10," - ")</f>
        <v>-0.25</v>
      </c>
      <c r="I10" s="359">
        <f>IF(ISNUMBER((Tasas!C10-Datos!BE10)/Datos!BE10),(Tasas!C10-Datos!BE10)/Datos!BE10," - ")</f>
        <v>-0.42108397855866586</v>
      </c>
      <c r="J10" s="358">
        <f>IF(ISNUMBER((Tasas!D10-Datos!BF10)/Datos!BF10),(Tasas!D10-Datos!BF10)/Datos!BF10," - ")</f>
        <v>-0.63013698630136994</v>
      </c>
      <c r="K10" s="360">
        <f>IF(ISNUMBER((Tasas!E10-Datos!BG10)/Datos!BG10),(Tasas!E10-Datos!BG10)/Datos!BG10," - ")</f>
        <v>-0.32069309625328862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0.25903614457831325</v>
      </c>
      <c r="I11" s="359">
        <f>IF(ISNUMBER((Tasas!C11-Datos!BE11)/Datos!BE11),(Tasas!C11-Datos!BE11)/Datos!BE11," - ")</f>
        <v>0.13972187893160537</v>
      </c>
      <c r="J11" s="358">
        <f>IF(ISNUMBER((Tasas!D11-Datos!BF11)/Datos!BF11),(Tasas!D11-Datos!BF11)/Datos!BF11," - ")</f>
        <v>-0.37307664938775736</v>
      </c>
      <c r="K11" s="360">
        <f>IF(ISNUMBER((Tasas!E11-Datos!BG11)/Datos!BG11),(Tasas!E11-Datos!BG11)/Datos!BG11," - ")</f>
        <v>0.13317166573331479</v>
      </c>
      <c r="M11" t="e">
        <f>IF(Monitorios="SI",Datos!CE11,0)</f>
        <v>#REF!</v>
      </c>
      <c r="N11" t="e">
        <f>IF(Monitorios="SI",Datos!CF11,0)</f>
        <v>#REF!</v>
      </c>
      <c r="O11" t="e">
        <f>IF(Monitorios="SI",Datos!CG11,0)</f>
        <v>#REF!</v>
      </c>
      <c r="P11" t="e">
        <f>IF(Monitorios="SI",Datos!CH11,0)</f>
        <v>#REF!</v>
      </c>
      <c r="Q11">
        <f>IF(J_V="SI",0,Datos!AG11)</f>
        <v>76</v>
      </c>
      <c r="R11">
        <f>IF(J_V="SI",0,Datos!AH11)</f>
        <v>177</v>
      </c>
      <c r="S11">
        <f>IF(J_V="SI",0,Datos!AI11)</f>
        <v>182</v>
      </c>
      <c r="T11">
        <f>IF(J_V="SI",0,Datos!AJ11)</f>
        <v>71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0.26002587322121606</v>
      </c>
      <c r="I13" s="366">
        <f>IF(ISNUMBER((Tasas!C13-Datos!BE13)/Datos!BE13),(Tasas!C13-Datos!BE13)/Datos!BE13," - ")</f>
        <v>0.316242937300104</v>
      </c>
      <c r="J13" s="364">
        <f>IF(ISNUMBER((Tasas!D13-Datos!BF13)/Datos!BF13),(Tasas!D13-Datos!BF13)/Datos!BF13," - ")</f>
        <v>-0.38136403787422812</v>
      </c>
      <c r="K13" s="367">
        <f>IF(ISNUMBER((Tasas!E13-Datos!BG13)/Datos!BG13),(Tasas!E13-Datos!BG13)/Datos!BG13," - ")</f>
        <v>0.26827105194355882</v>
      </c>
      <c r="M13" t="e">
        <f>IF(Monitorios="SI",Datos!CE13,0)</f>
        <v>#REF!</v>
      </c>
      <c r="N13" t="e">
        <f>IF(Monitorios="SI",Datos!CF13,0)</f>
        <v>#REF!</v>
      </c>
      <c r="O13" t="e">
        <f>IF(Monitorios="SI",Datos!CG13,0)</f>
        <v>#REF!</v>
      </c>
      <c r="P13" t="e">
        <f>IF(Monitorios="SI",Datos!CH13,0)</f>
        <v>#REF!</v>
      </c>
      <c r="Q13">
        <f>IF(J_V="SI",0,Datos!AG13)</f>
        <v>243</v>
      </c>
      <c r="R13">
        <f>IF(J_V="SI",0,Datos!AH13)</f>
        <v>351</v>
      </c>
      <c r="S13">
        <f>IF(J_V="SI",0,Datos!AI13)</f>
        <v>352</v>
      </c>
      <c r="T13">
        <f>IF(J_V="SI",0,Datos!AJ13)</f>
        <v>268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0.43274184315970232</v>
      </c>
      <c r="E15" s="357">
        <f>IF(ISNUMBER(
   IF(D_I="SI",(Datos!J15-Datos!T15)/Datos!T15,(Datos!J15+Datos!AD15-(Datos!T15+Datos!AL15))/(Datos!T15+Datos!AL15))
     ),IF(D_I="SI",(Datos!J15-Datos!T15)/Datos!T15,(Datos!J15+Datos!AD15-(Datos!T15+Datos!AL15))/(Datos!T15+Datos!AL15))," - ")</f>
        <v>5.9886605244507445E-2</v>
      </c>
      <c r="F15" s="357">
        <f>IF(ISNUMBER(
   IF(D_I="SI",(Datos!K15-Datos!U15)/Datos!U15,(Datos!K15+Datos!AE15-(Datos!U15+Datos!AM15))/(Datos!U15+Datos!AM15))
     ),IF(D_I="SI",(Datos!K15-Datos!U15)/Datos!U15,(Datos!K15+Datos!AE15-(Datos!U15+Datos!AM15))/(Datos!U15+Datos!AM15))," - ")</f>
        <v>0.18969957081545064</v>
      </c>
      <c r="G15" s="358">
        <f>IF(ISNUMBER(
   IF(D_I="SI",(Datos!L15-Datos!V15)/Datos!V15,(Datos!L15+Datos!AF15-(Datos!V15+Datos!AN15))/(Datos!V15+Datos!AN15))
     ),IF(D_I="SI",(Datos!L15-Datos!V15)/Datos!V15,(Datos!L15+Datos!AF15-(Datos!V15+Datos!AN15))/(Datos!V15+Datos!AN15))," - ")</f>
        <v>0.26685133887349954</v>
      </c>
      <c r="H15" s="234">
        <f>IF(ISNUMBER((Datos!M15-Datos!W15)/Datos!W15),(Datos!M15-Datos!W15)/Datos!W15," - ")</f>
        <v>-1.020408163265306E-2</v>
      </c>
      <c r="I15" s="359">
        <f>IF(ISNUMBER((Tasas!C15-Datos!BE15)/Datos!BE15),(Tasas!C15-Datos!BE15)/Datos!BE15," - ")</f>
        <v>6.4849790611563471E-2</v>
      </c>
      <c r="J15" s="358">
        <f>IF(ISNUMBER((Tasas!D15-Datos!BF15)/Datos!BF15),(Tasas!D15-Datos!BF15)/Datos!BF15," - ")</f>
        <v>-0.16802868333480581</v>
      </c>
      <c r="K15" s="360">
        <f>IF(ISNUMBER((Tasas!E15-Datos!BG15)/Datos!BG15),(Tasas!E15-Datos!BG15)/Datos!BG15," - ")</f>
        <v>1.0718446700061874E-2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0.26829268292682928</v>
      </c>
      <c r="E17" s="357">
        <f>IF(ISNUMBER(
   IF(D_I="SI",(Datos!J17-Datos!T17)/Datos!T17,(Datos!J17+Datos!AD17-(Datos!T17+Datos!AL17))/(Datos!T17+Datos!AL17))
     ),IF(D_I="SI",(Datos!J17-Datos!T17)/Datos!T17,(Datos!J17+Datos!AD17-(Datos!T17+Datos!AL17))/(Datos!T17+Datos!AL17))," - ")</f>
        <v>0.33663366336633666</v>
      </c>
      <c r="F17" s="357">
        <f>IF(ISNUMBER(
   IF(D_I="SI",(Datos!K17-Datos!U17)/Datos!U17,(Datos!K17+Datos!AE17-(Datos!U17+Datos!AM17))/(Datos!U17+Datos!AM17))
     ),IF(D_I="SI",(Datos!K17-Datos!U17)/Datos!U17,(Datos!K17+Datos!AE17-(Datos!U17+Datos!AM17))/(Datos!U17+Datos!AM17))," - ")</f>
        <v>0.28467153284671531</v>
      </c>
      <c r="G17" s="358">
        <f>IF(ISNUMBER(
   IF(D_I="SI",(Datos!L17-Datos!V17)/Datos!V17,(Datos!L17+Datos!AF17-(Datos!V17+Datos!AN17))/(Datos!V17+Datos!AN17))
     ),IF(D_I="SI",(Datos!L17-Datos!V17)/Datos!V17,(Datos!L17+Datos!AF17-(Datos!V17+Datos!AN17))/(Datos!V17+Datos!AN17))," - ")</f>
        <v>0.44585987261146498</v>
      </c>
      <c r="H17" s="234">
        <f>IF(ISNUMBER((Datos!M17-Datos!W17)/Datos!W17),(Datos!M17-Datos!W17)/Datos!W17," - ")</f>
        <v>4.878048780487805E-2</v>
      </c>
      <c r="I17" s="359">
        <f>IF(ISNUMBER((Tasas!C17-Datos!BE17)/Datos!BE17),(Tasas!C17-Datos!BE17)/Datos!BE17," - ")</f>
        <v>0.12547046902142453</v>
      </c>
      <c r="J17" s="358">
        <f>IF(ISNUMBER((Tasas!D17-Datos!BF17)/Datos!BF17),(Tasas!D17-Datos!BF17)/Datos!BF17," - ")</f>
        <v>-0.18361973392461203</v>
      </c>
      <c r="K17" s="360">
        <f>IF(ISNUMBER((Tasas!E17-Datos!BG17)/Datos!BG17),(Tasas!E17-Datos!BG17)/Datos!BG17," - ")</f>
        <v>2.5088028169014072E-2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0.41862899005756149</v>
      </c>
      <c r="E18" s="363">
        <f>IF(ISNUMBER(
   IF(D_I="SI",(Datos!J18-Datos!T18)/Datos!T18,(Datos!J18+Datos!AD18-(Datos!T18+Datos!AL18))/(Datos!T18+Datos!AL18))
     ),IF(D_I="SI",(Datos!J18-Datos!T18)/Datos!T18,(Datos!J18+Datos!AD18-(Datos!T18+Datos!AL18))/(Datos!T18+Datos!AL18))," - ")</f>
        <v>9.4544327340359585E-2</v>
      </c>
      <c r="F18" s="363">
        <f>IF(ISNUMBER(
   IF(D_I="SI",(Datos!K18-Datos!U18)/Datos!U18,(Datos!K18+Datos!AE18-(Datos!U18+Datos!AM18))/(Datos!U18+Datos!AM18))
     ),IF(D_I="SI",(Datos!K18-Datos!U18)/Datos!U18,(Datos!K18+Datos!AE18-(Datos!U18+Datos!AM18))/(Datos!U18+Datos!AM18))," - ")</f>
        <v>0.20394016782196278</v>
      </c>
      <c r="G18" s="364">
        <f>IF(ISNUMBER(
   IF(D_I="SI",(Datos!L18-Datos!V18)/Datos!V18,(Datos!L18+Datos!AF18-(Datos!V18+Datos!AN18))/(Datos!V18+Datos!AN18))
     ),IF(D_I="SI",(Datos!L18-Datos!V18)/Datos!V18,(Datos!L18+Datos!AF18-(Datos!V18+Datos!AN18))/(Datos!V18+Datos!AN18))," - ")</f>
        <v>0.27894963409384416</v>
      </c>
      <c r="H18" s="365">
        <f>IF(ISNUMBER((Datos!M18-Datos!W18)/Datos!W18),(Datos!M18-Datos!W18)/Datos!W18," - ")</f>
        <v>0</v>
      </c>
      <c r="I18" s="366">
        <f>IF(ISNUMBER((Tasas!C18-Datos!BE18)/Datos!BE18),(Tasas!C18-Datos!BE18)/Datos!BE18," - ")</f>
        <v>6.2303317288250497E-2</v>
      </c>
      <c r="J18" s="364">
        <f>IF(ISNUMBER((Tasas!D18-Datos!BF18)/Datos!BF18),(Tasas!D18-Datos!BF18)/Datos!BF18," - ")</f>
        <v>-0.16939393939393937</v>
      </c>
      <c r="K18" s="367">
        <f>IF(ISNUMBER((Tasas!E18-Datos!BG18)/Datos!BG18),(Tasas!E18-Datos!BG18)/Datos!BG18," - ")</f>
        <v>9.2744851670294552E-3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0.35392276777913684</v>
      </c>
      <c r="E19" s="372">
        <f>IF(ISNUMBER(
   IF(J_V="SI",(Datos!J19-Datos!T19)/Datos!T19,(Datos!J19+Datos!Z19-(Datos!T19+Datos!AH19))/(Datos!T19+Datos!AH19))
     ),IF(J_V="SI",(Datos!J19-Datos!T19)/Datos!T19,(Datos!J19+Datos!Z19-(Datos!T19+Datos!AH19))/(Datos!T19+Datos!AH19))," - ")</f>
        <v>9.1833851370443628E-2</v>
      </c>
      <c r="F19" s="372">
        <f>IF(ISNUMBER(
   IF(J_V="SI",(Datos!K19-Datos!U19)/Datos!U19,(Datos!K19+Datos!AA19-(Datos!U19+Datos!AI19))/(Datos!U19+Datos!AI19))
     ),IF(J_V="SI",(Datos!K19-Datos!U19)/Datos!U19,(Datos!K19+Datos!AA19-(Datos!U19+Datos!AI19))/(Datos!U19+Datos!AI19))," - ")</f>
        <v>8.7664370695053229E-2</v>
      </c>
      <c r="G19" s="373">
        <f>IF(ISNUMBER(
   IF(J_V="SI",(Datos!L19-Datos!V19)/Datos!V19,(Datos!L19+Datos!AB19-(Datos!V19+Datos!AJ19))/(Datos!V19+Datos!AJ19))
     ),IF(J_V="SI",(Datos!L19-Datos!V19)/Datos!V19,(Datos!L19+Datos!AB19-(Datos!V19+Datos!AJ19))/(Datos!V19+Datos!AJ19))," - ")</f>
        <v>0.30955259975816202</v>
      </c>
      <c r="H19" s="374">
        <f>IF(ISNUMBER((Datos!M19-Datos!W19)/Datos!W19),(Datos!M19-Datos!W19)/Datos!W19," - ")</f>
        <v>0.161186848436247</v>
      </c>
      <c r="I19" s="371">
        <f>IF(ISNUMBER((Tasas!C19-Datos!BE19)/Datos!BE19),(Tasas!C19-Datos!BE19)/Datos!BE19," - ")</f>
        <v>0.20400431883349723</v>
      </c>
      <c r="J19" s="372">
        <f>IF(ISNUMBER((Tasas!D19-Datos!BF19)/Datos!BF19),(Tasas!D19-Datos!BF19)/Datos!BF19," - ")</f>
        <v>-0.34995457325849161</v>
      </c>
      <c r="K19" s="373">
        <f>IF(ISNUMBER((Tasas!E19-Datos!BG19)/Datos!BG19),(Tasas!E19-Datos!BG19)/Datos!BG19," - ")</f>
        <v>0.15272589158168773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0.15482188599760424</v>
      </c>
      <c r="E21" s="282">
        <f t="shared" si="1"/>
        <v>0.61247380311026001</v>
      </c>
      <c r="F21" s="282">
        <f t="shared" si="1"/>
        <v>0.40301265502177192</v>
      </c>
      <c r="G21" s="283">
        <f t="shared" si="1"/>
        <v>0.11316460784147804</v>
      </c>
      <c r="H21" s="289">
        <f t="shared" si="1"/>
        <v>0.19487676223078088</v>
      </c>
      <c r="I21" s="281">
        <f t="shared" si="1"/>
        <v>0.25616496228774832</v>
      </c>
      <c r="J21" s="282">
        <f t="shared" si="1"/>
        <v>0.16867736582757045</v>
      </c>
      <c r="K21" s="283">
        <f t="shared" si="1"/>
        <v>0.20913094390438564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uS6bV12bzwGOYmfxvabyk8cjQwblt3lKkTqWJGFQ/5611PMPzkL1KYQ31FZnp9ahwfS7lo3S/U21360vfLyKw==" saltValue="5StPtjP/FMhzJiRqvRkK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